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480" yWindow="360" windowWidth="15600" windowHeight="7455"/>
  </bookViews>
  <sheets>
    <sheet name="Obiteljski kalendar" sheetId="4" r:id="rId1"/>
    <sheet name="Nastavnici" sheetId="6" r:id="rId2"/>
  </sheets>
  <definedNames>
    <definedName name="AprSun1">DATE(CalendarYear+1,4,1)-WEEKDAY(DATE(CalendarYear+1,4,1))+1</definedName>
    <definedName name="AugSun1">DATE(CalendarYear+1,8,1)-WEEKDAY(DATE(CalendarYear+1,8,1))+1</definedName>
    <definedName name="Blagdani">'Obiteljski kalendar'!$AP$7:$AP$39</definedName>
    <definedName name="CalendarYear">'Obiteljski kalendar'!$AD$3</definedName>
    <definedName name="DecSun1">DATE(CalendarYear,12,1)-WEEKDAY(DATE(CalendarYear,12,1))+1</definedName>
    <definedName name="engleski">Tablica1[Engleski]</definedName>
    <definedName name="FebSun1">DATE(CalendarYear+1,2,1)-WEEKDAY(DATE(CalendarYear+1,2,1))+1</definedName>
    <definedName name="fizika">Tablica1[Fizika]</definedName>
    <definedName name="Geografija">Tablica1[Geografija]</definedName>
    <definedName name="glazbeni">Tablica1[Glazbeni]</definedName>
    <definedName name="Hrvatski">Tablica1[[#All],[Hrvatski]]</definedName>
    <definedName name="ImportantDates">'Obiteljski kalendar'!$C$6:$F$19</definedName>
    <definedName name="Informatika">Tablica1[Informatika]</definedName>
    <definedName name="JanSun1">DATE(CalendarYear+1,1,1)-WEEKDAY(DATE(CalendarYear+1,1,1))+1</definedName>
    <definedName name="JulSun1">DATE(CalendarYear+1,7,1)-WEEKDAY(DATE(CalendarYear+1,7,1))+1</definedName>
    <definedName name="JunSun1">DATE(CalendarYear+1,6,1)-WEEKDAY(DATE(CalendarYear+1,6,1))+1</definedName>
    <definedName name="KalendarOZNACI">'Obiteljski kalendar'!$B$37:$H$42,'Obiteljski kalendar'!$K$37:$Q$42,'Obiteljski kalendar'!$T$37:$Z$42,'Obiteljski kalendar'!$AC$37:$AI$42,'Obiteljski kalendar'!$B$46:$H$51,'Obiteljski kalendar'!$K$46:$Q$51,'Obiteljski kalendar'!$T$46:$Z$51,'Obiteljski kalendar'!$AC$46:$AI$51,'Obiteljski kalendar'!$B$28:$H$33,'Obiteljski kalendar'!$K$28:$Q$33,'Obiteljski kalendar'!$T$28:$Z$33,'Obiteljski kalendar'!$AC$28:$AI$33</definedName>
    <definedName name="Kemija">Tablica1[Kemija]</definedName>
    <definedName name="likovni">Tablica1[Likovni]</definedName>
    <definedName name="MarSun1">DATE(CalendarYear+1,3,1)-WEEKDAY(DATE(CalendarYear+1,3,1))+1</definedName>
    <definedName name="matematika">Tablica1[Mat]</definedName>
    <definedName name="MaySun1">DATE(CalendarYear+1,5,1)-WEEKDAY(DATE(CalendarYear+1,5,1))+1</definedName>
    <definedName name="NeradniDani">Tablica2[#All]</definedName>
    <definedName name="NovSun1">DATE(CalendarYear,11,1)-WEEKDAY(DATE(CalendarYear,11,1))+1</definedName>
    <definedName name="njemacki">Tablica1[Njemački]</definedName>
    <definedName name="OctSun1">DATE(CalendarYear,10,1)-WEEKDAY(DATE(CalendarYear,10,1))+1</definedName>
    <definedName name="_xlnm.Print_Area" localSheetId="0">'Obiteljski kalendar'!$A$1:$AL$52</definedName>
    <definedName name="povijest">Tablica1[Povijest]</definedName>
    <definedName name="PriBio">Tablica1[Pri/Bio]</definedName>
    <definedName name="SepSun1">DATE(CalendarYear,9,1)-WEEKDAY(DATE(CalendarYear,9,1))+1</definedName>
    <definedName name="Tehnicki">Tablica1[Tehnički]</definedName>
    <definedName name="Tjelesni">Tablica1[Tjelesni]</definedName>
  </definedNames>
  <calcPr calcId="145621"/>
</workbook>
</file>

<file path=xl/calcChain.xml><?xml version="1.0" encoding="utf-8"?>
<calcChain xmlns="http://schemas.openxmlformats.org/spreadsheetml/2006/main">
  <c r="AT6" i="4" l="1"/>
  <c r="AF4" i="4"/>
  <c r="P4" i="4"/>
  <c r="G4" i="4"/>
  <c r="G3" i="4"/>
  <c r="AX15" i="4" l="1"/>
  <c r="AX14" i="4"/>
  <c r="AX13" i="4"/>
  <c r="AX12" i="4"/>
  <c r="AX11" i="4"/>
  <c r="AX10" i="4"/>
  <c r="AX9" i="4"/>
  <c r="AX8" i="4"/>
  <c r="AX7" i="4"/>
  <c r="AX6" i="4"/>
  <c r="D29" i="4"/>
  <c r="BH15" i="4" l="1"/>
  <c r="BH14" i="4"/>
  <c r="BH13" i="4"/>
  <c r="BH12" i="4"/>
  <c r="BH11" i="4"/>
  <c r="BH10" i="4"/>
  <c r="BH9" i="4"/>
  <c r="BH8" i="4"/>
  <c r="BH7" i="4"/>
  <c r="BH6" i="4"/>
  <c r="BG15" i="4"/>
  <c r="BG14" i="4"/>
  <c r="BG13" i="4"/>
  <c r="BG12" i="4"/>
  <c r="BG11" i="4"/>
  <c r="BG10" i="4"/>
  <c r="BG9" i="4"/>
  <c r="BG8" i="4"/>
  <c r="BG7" i="4"/>
  <c r="BG6" i="4"/>
  <c r="BF15" i="4"/>
  <c r="BF14" i="4"/>
  <c r="BF13" i="4"/>
  <c r="BF12" i="4"/>
  <c r="BF11" i="4"/>
  <c r="BF10" i="4"/>
  <c r="BF9" i="4"/>
  <c r="BF8" i="4"/>
  <c r="BF7" i="4"/>
  <c r="BF6" i="4"/>
  <c r="BE15" i="4"/>
  <c r="BE14" i="4"/>
  <c r="BE13" i="4"/>
  <c r="BE12" i="4"/>
  <c r="BE11" i="4"/>
  <c r="BE10" i="4"/>
  <c r="BE9" i="4"/>
  <c r="BE8" i="4"/>
  <c r="BE7" i="4"/>
  <c r="BE6" i="4"/>
  <c r="BD15" i="4"/>
  <c r="BD14" i="4"/>
  <c r="BD13" i="4"/>
  <c r="BD12" i="4"/>
  <c r="BD11" i="4"/>
  <c r="BD10" i="4"/>
  <c r="BD9" i="4"/>
  <c r="BD8" i="4"/>
  <c r="BD7" i="4"/>
  <c r="BD6" i="4"/>
  <c r="BC15" i="4"/>
  <c r="BC14" i="4"/>
  <c r="BC13" i="4"/>
  <c r="BC12" i="4"/>
  <c r="BC11" i="4"/>
  <c r="BC10" i="4"/>
  <c r="BC9" i="4"/>
  <c r="BC8" i="4"/>
  <c r="BC7" i="4"/>
  <c r="BC6" i="4"/>
  <c r="BB15" i="4"/>
  <c r="BB14" i="4"/>
  <c r="BB13" i="4"/>
  <c r="BB12" i="4"/>
  <c r="BB11" i="4"/>
  <c r="BB10" i="4"/>
  <c r="BB9" i="4"/>
  <c r="BB8" i="4"/>
  <c r="BB7" i="4"/>
  <c r="BB6" i="4"/>
  <c r="BA15" i="4"/>
  <c r="BA14" i="4"/>
  <c r="BA13" i="4"/>
  <c r="BA12" i="4"/>
  <c r="BA11" i="4"/>
  <c r="BA10" i="4"/>
  <c r="BA9" i="4"/>
  <c r="BA8" i="4"/>
  <c r="BA7" i="4"/>
  <c r="BA6" i="4"/>
  <c r="AZ15" i="4"/>
  <c r="AZ14" i="4"/>
  <c r="AZ13" i="4"/>
  <c r="AZ12" i="4"/>
  <c r="AZ11" i="4"/>
  <c r="AZ10" i="4"/>
  <c r="AZ9" i="4"/>
  <c r="AZ8" i="4"/>
  <c r="AZ7" i="4"/>
  <c r="AZ6" i="4"/>
  <c r="AY15" i="4"/>
  <c r="AY14" i="4"/>
  <c r="AY13" i="4"/>
  <c r="AY12" i="4"/>
  <c r="AY11" i="4"/>
  <c r="AY10" i="4"/>
  <c r="AY9" i="4"/>
  <c r="AY8" i="4"/>
  <c r="AY7" i="4"/>
  <c r="AY6" i="4"/>
  <c r="AW15" i="4"/>
  <c r="AW14" i="4"/>
  <c r="AW13" i="4"/>
  <c r="AW12" i="4"/>
  <c r="AW11" i="4"/>
  <c r="AW10" i="4"/>
  <c r="AW9" i="4"/>
  <c r="AW8" i="4"/>
  <c r="AW7" i="4"/>
  <c r="AW6" i="4"/>
  <c r="AU15" i="4"/>
  <c r="AU14" i="4"/>
  <c r="AU12" i="4"/>
  <c r="AU13" i="4"/>
  <c r="AU11" i="4"/>
  <c r="AU10" i="4"/>
  <c r="AU9" i="4"/>
  <c r="AV8" i="4"/>
  <c r="AV7" i="4"/>
  <c r="AV6" i="4"/>
  <c r="AV15" i="4"/>
  <c r="AV14" i="4"/>
  <c r="AV13" i="4"/>
  <c r="AV12" i="4"/>
  <c r="AV11" i="4"/>
  <c r="AV10" i="4"/>
  <c r="AV9" i="4"/>
  <c r="AT7" i="4"/>
  <c r="AT8" i="4"/>
  <c r="AT10" i="4"/>
  <c r="AT11" i="4"/>
  <c r="AT12" i="4"/>
  <c r="AT13" i="4"/>
  <c r="AT14" i="4"/>
  <c r="AT15" i="4"/>
  <c r="AU6" i="4"/>
  <c r="AU7" i="4"/>
  <c r="AU8" i="4"/>
  <c r="B34" i="4"/>
  <c r="B25" i="4"/>
  <c r="AC44" i="4"/>
  <c r="T44" i="4"/>
  <c r="K44" i="4"/>
  <c r="B44" i="4"/>
  <c r="AI51" i="4"/>
  <c r="AH51" i="4"/>
  <c r="AG51" i="4"/>
  <c r="AF51" i="4"/>
  <c r="AE51" i="4"/>
  <c r="AD51" i="4"/>
  <c r="AC51" i="4"/>
  <c r="Z51" i="4"/>
  <c r="Y51" i="4"/>
  <c r="X51" i="4"/>
  <c r="W51" i="4"/>
  <c r="V51" i="4"/>
  <c r="U51" i="4"/>
  <c r="T51" i="4"/>
  <c r="Q51" i="4"/>
  <c r="P51" i="4"/>
  <c r="O51" i="4"/>
  <c r="N51" i="4"/>
  <c r="M51" i="4"/>
  <c r="L51" i="4"/>
  <c r="K51" i="4"/>
  <c r="H51" i="4"/>
  <c r="G51" i="4"/>
  <c r="F51" i="4"/>
  <c r="E51" i="4"/>
  <c r="D51" i="4"/>
  <c r="C51" i="4"/>
  <c r="B51" i="4"/>
  <c r="AI50" i="4"/>
  <c r="AH50" i="4"/>
  <c r="AG50" i="4"/>
  <c r="AF50" i="4"/>
  <c r="AE50" i="4"/>
  <c r="AD50" i="4"/>
  <c r="AC50" i="4"/>
  <c r="Z50" i="4"/>
  <c r="Y50" i="4"/>
  <c r="X50" i="4"/>
  <c r="W50" i="4"/>
  <c r="V50" i="4"/>
  <c r="U50" i="4"/>
  <c r="T50" i="4"/>
  <c r="Q50" i="4"/>
  <c r="P50" i="4"/>
  <c r="O50" i="4"/>
  <c r="N50" i="4"/>
  <c r="M50" i="4"/>
  <c r="L50" i="4"/>
  <c r="K50" i="4"/>
  <c r="H50" i="4"/>
  <c r="G50" i="4"/>
  <c r="F50" i="4"/>
  <c r="E50" i="4"/>
  <c r="D50" i="4"/>
  <c r="C50" i="4"/>
  <c r="B50" i="4"/>
  <c r="AI49" i="4"/>
  <c r="AH49" i="4"/>
  <c r="AG49" i="4"/>
  <c r="AF49" i="4"/>
  <c r="AE49" i="4"/>
  <c r="AD49" i="4"/>
  <c r="AC49" i="4"/>
  <c r="Z49" i="4"/>
  <c r="Y49" i="4"/>
  <c r="X49" i="4"/>
  <c r="W49" i="4"/>
  <c r="V49" i="4"/>
  <c r="U49" i="4"/>
  <c r="T49" i="4"/>
  <c r="Q49" i="4"/>
  <c r="P49" i="4"/>
  <c r="O49" i="4"/>
  <c r="N49" i="4"/>
  <c r="M49" i="4"/>
  <c r="L49" i="4"/>
  <c r="K49" i="4"/>
  <c r="H49" i="4"/>
  <c r="G49" i="4"/>
  <c r="F49" i="4"/>
  <c r="E49" i="4"/>
  <c r="D49" i="4"/>
  <c r="C49" i="4"/>
  <c r="B49" i="4"/>
  <c r="AI48" i="4"/>
  <c r="AH48" i="4"/>
  <c r="AG48" i="4"/>
  <c r="AF48" i="4"/>
  <c r="AE48" i="4"/>
  <c r="AD48" i="4"/>
  <c r="AC48" i="4"/>
  <c r="Z48" i="4"/>
  <c r="Y48" i="4"/>
  <c r="X48" i="4"/>
  <c r="W48" i="4"/>
  <c r="V48" i="4"/>
  <c r="U48" i="4"/>
  <c r="T48" i="4"/>
  <c r="Q48" i="4"/>
  <c r="P48" i="4"/>
  <c r="O48" i="4"/>
  <c r="N48" i="4"/>
  <c r="M48" i="4"/>
  <c r="L48" i="4"/>
  <c r="K48" i="4"/>
  <c r="H48" i="4"/>
  <c r="G48" i="4"/>
  <c r="F48" i="4"/>
  <c r="E48" i="4"/>
  <c r="D48" i="4"/>
  <c r="C48" i="4"/>
  <c r="B48" i="4"/>
  <c r="AI47" i="4"/>
  <c r="AH47" i="4"/>
  <c r="AG47" i="4"/>
  <c r="AF47" i="4"/>
  <c r="AE47" i="4"/>
  <c r="AD47" i="4"/>
  <c r="AC47" i="4"/>
  <c r="Z47" i="4"/>
  <c r="Y47" i="4"/>
  <c r="X47" i="4"/>
  <c r="W47" i="4"/>
  <c r="V47" i="4"/>
  <c r="U47" i="4"/>
  <c r="T47" i="4"/>
  <c r="Q47" i="4"/>
  <c r="P47" i="4"/>
  <c r="O47" i="4"/>
  <c r="N47" i="4"/>
  <c r="M47" i="4"/>
  <c r="L47" i="4"/>
  <c r="K47" i="4"/>
  <c r="H47" i="4"/>
  <c r="G47" i="4"/>
  <c r="F47" i="4"/>
  <c r="E47" i="4"/>
  <c r="D47" i="4"/>
  <c r="C47" i="4"/>
  <c r="B47" i="4"/>
  <c r="AI46" i="4"/>
  <c r="AH46" i="4"/>
  <c r="AG46" i="4"/>
  <c r="AF46" i="4"/>
  <c r="AE46" i="4"/>
  <c r="AD46" i="4"/>
  <c r="AC46" i="4"/>
  <c r="Z46" i="4"/>
  <c r="Y46" i="4"/>
  <c r="X46" i="4"/>
  <c r="W46" i="4"/>
  <c r="V46" i="4"/>
  <c r="U46" i="4"/>
  <c r="T46" i="4"/>
  <c r="Q46" i="4"/>
  <c r="P46" i="4"/>
  <c r="O46" i="4"/>
  <c r="N46" i="4"/>
  <c r="M46" i="4"/>
  <c r="L46" i="4"/>
  <c r="K46" i="4"/>
  <c r="H46" i="4"/>
  <c r="G46" i="4"/>
  <c r="F46" i="4"/>
  <c r="E46" i="4"/>
  <c r="D46" i="4"/>
  <c r="C46" i="4"/>
  <c r="B46" i="4"/>
  <c r="AI42" i="4"/>
  <c r="AH42" i="4"/>
  <c r="AG42" i="4"/>
  <c r="AF42" i="4"/>
  <c r="AE42" i="4"/>
  <c r="AD42" i="4"/>
  <c r="AC42" i="4"/>
  <c r="Z42" i="4"/>
  <c r="Y42" i="4"/>
  <c r="X42" i="4"/>
  <c r="W42" i="4"/>
  <c r="V42" i="4"/>
  <c r="U42" i="4"/>
  <c r="T42" i="4"/>
  <c r="Q42" i="4"/>
  <c r="P42" i="4"/>
  <c r="O42" i="4"/>
  <c r="N42" i="4"/>
  <c r="M42" i="4"/>
  <c r="L42" i="4"/>
  <c r="K42" i="4"/>
  <c r="AI41" i="4"/>
  <c r="AH41" i="4"/>
  <c r="AG41" i="4"/>
  <c r="AF41" i="4"/>
  <c r="AE41" i="4"/>
  <c r="AD41" i="4"/>
  <c r="AC41" i="4"/>
  <c r="Z41" i="4"/>
  <c r="Y41" i="4"/>
  <c r="X41" i="4"/>
  <c r="W41" i="4"/>
  <c r="V41" i="4"/>
  <c r="U41" i="4"/>
  <c r="T41" i="4"/>
  <c r="Q41" i="4"/>
  <c r="P41" i="4"/>
  <c r="O41" i="4"/>
  <c r="N41" i="4"/>
  <c r="M41" i="4"/>
  <c r="L41" i="4"/>
  <c r="K41" i="4"/>
  <c r="AI40" i="4"/>
  <c r="AH40" i="4"/>
  <c r="AG40" i="4"/>
  <c r="AF40" i="4"/>
  <c r="AE40" i="4"/>
  <c r="AD40" i="4"/>
  <c r="AC40" i="4"/>
  <c r="Z40" i="4"/>
  <c r="Y40" i="4"/>
  <c r="X40" i="4"/>
  <c r="W40" i="4"/>
  <c r="V40" i="4"/>
  <c r="U40" i="4"/>
  <c r="T40" i="4"/>
  <c r="Q40" i="4"/>
  <c r="P40" i="4"/>
  <c r="O40" i="4"/>
  <c r="N40" i="4"/>
  <c r="M40" i="4"/>
  <c r="L40" i="4"/>
  <c r="K40" i="4"/>
  <c r="AI39" i="4"/>
  <c r="AH39" i="4"/>
  <c r="AG39" i="4"/>
  <c r="AF39" i="4"/>
  <c r="AE39" i="4"/>
  <c r="AD39" i="4"/>
  <c r="AC39" i="4"/>
  <c r="Z39" i="4"/>
  <c r="Y39" i="4"/>
  <c r="X39" i="4"/>
  <c r="W39" i="4"/>
  <c r="V39" i="4"/>
  <c r="U39" i="4"/>
  <c r="T39" i="4"/>
  <c r="Q39" i="4"/>
  <c r="P39" i="4"/>
  <c r="O39" i="4"/>
  <c r="N39" i="4"/>
  <c r="M39" i="4"/>
  <c r="L39" i="4"/>
  <c r="K39" i="4"/>
  <c r="AI38" i="4"/>
  <c r="AH38" i="4"/>
  <c r="AG38" i="4"/>
  <c r="AF38" i="4"/>
  <c r="AE38" i="4"/>
  <c r="AD38" i="4"/>
  <c r="AC38" i="4"/>
  <c r="Z38" i="4"/>
  <c r="Y38" i="4"/>
  <c r="X38" i="4"/>
  <c r="W38" i="4"/>
  <c r="V38" i="4"/>
  <c r="U38" i="4"/>
  <c r="T38" i="4"/>
  <c r="Q38" i="4"/>
  <c r="P38" i="4"/>
  <c r="O38" i="4"/>
  <c r="N38" i="4"/>
  <c r="M38" i="4"/>
  <c r="L38" i="4"/>
  <c r="K38" i="4"/>
  <c r="AI37" i="4"/>
  <c r="AH37" i="4"/>
  <c r="AG37" i="4"/>
  <c r="AF37" i="4"/>
  <c r="AE37" i="4"/>
  <c r="AD37" i="4"/>
  <c r="AC37" i="4"/>
  <c r="Z37" i="4"/>
  <c r="Y37" i="4"/>
  <c r="X37" i="4"/>
  <c r="W37" i="4"/>
  <c r="V37" i="4"/>
  <c r="U37" i="4"/>
  <c r="T37" i="4"/>
  <c r="Q37" i="4"/>
  <c r="P37" i="4"/>
  <c r="O37" i="4"/>
  <c r="N37" i="4"/>
  <c r="M37" i="4"/>
  <c r="L37" i="4"/>
  <c r="K37" i="4"/>
  <c r="AI33" i="4"/>
  <c r="AH33" i="4"/>
  <c r="AG33" i="4"/>
  <c r="AF33" i="4"/>
  <c r="AE33" i="4"/>
  <c r="AD33" i="4"/>
  <c r="AC33" i="4"/>
  <c r="Z33" i="4"/>
  <c r="Y33" i="4"/>
  <c r="X33" i="4"/>
  <c r="W33" i="4"/>
  <c r="V33" i="4"/>
  <c r="U33" i="4"/>
  <c r="T33" i="4"/>
  <c r="Q33" i="4"/>
  <c r="P33" i="4"/>
  <c r="O33" i="4"/>
  <c r="N33" i="4"/>
  <c r="M33" i="4"/>
  <c r="L33" i="4"/>
  <c r="K33" i="4"/>
  <c r="H33" i="4"/>
  <c r="G33" i="4"/>
  <c r="F33" i="4"/>
  <c r="E33" i="4"/>
  <c r="D33" i="4"/>
  <c r="C33" i="4"/>
  <c r="B33" i="4"/>
  <c r="AI32" i="4"/>
  <c r="AH32" i="4"/>
  <c r="AG32" i="4"/>
  <c r="AF32" i="4"/>
  <c r="AE32" i="4"/>
  <c r="AD32" i="4"/>
  <c r="AC32" i="4"/>
  <c r="Z32" i="4"/>
  <c r="Y32" i="4"/>
  <c r="X32" i="4"/>
  <c r="W32" i="4"/>
  <c r="V32" i="4"/>
  <c r="U32" i="4"/>
  <c r="T32" i="4"/>
  <c r="Q32" i="4"/>
  <c r="P32" i="4"/>
  <c r="O32" i="4"/>
  <c r="N32" i="4"/>
  <c r="M32" i="4"/>
  <c r="L32" i="4"/>
  <c r="K32" i="4"/>
  <c r="H32" i="4"/>
  <c r="G32" i="4"/>
  <c r="F32" i="4"/>
  <c r="E32" i="4"/>
  <c r="D32" i="4"/>
  <c r="C32" i="4"/>
  <c r="B32" i="4"/>
  <c r="AI31" i="4"/>
  <c r="AH31" i="4"/>
  <c r="AG31" i="4"/>
  <c r="AF31" i="4"/>
  <c r="AE31" i="4"/>
  <c r="AD31" i="4"/>
  <c r="AC31" i="4"/>
  <c r="Z31" i="4"/>
  <c r="Y31" i="4"/>
  <c r="X31" i="4"/>
  <c r="W31" i="4"/>
  <c r="V31" i="4"/>
  <c r="U31" i="4"/>
  <c r="T31" i="4"/>
  <c r="Q31" i="4"/>
  <c r="P31" i="4"/>
  <c r="O31" i="4"/>
  <c r="N31" i="4"/>
  <c r="M31" i="4"/>
  <c r="L31" i="4"/>
  <c r="K31" i="4"/>
  <c r="H31" i="4"/>
  <c r="G31" i="4"/>
  <c r="F31" i="4"/>
  <c r="E31" i="4"/>
  <c r="D31" i="4"/>
  <c r="C31" i="4"/>
  <c r="B31" i="4"/>
  <c r="AI30" i="4"/>
  <c r="AH30" i="4"/>
  <c r="AG30" i="4"/>
  <c r="AF30" i="4"/>
  <c r="AE30" i="4"/>
  <c r="AD30" i="4"/>
  <c r="AC30" i="4"/>
  <c r="Z30" i="4"/>
  <c r="Y30" i="4"/>
  <c r="X30" i="4"/>
  <c r="W30" i="4"/>
  <c r="V30" i="4"/>
  <c r="U30" i="4"/>
  <c r="T30" i="4"/>
  <c r="Q30" i="4"/>
  <c r="P30" i="4"/>
  <c r="O30" i="4"/>
  <c r="N30" i="4"/>
  <c r="M30" i="4"/>
  <c r="L30" i="4"/>
  <c r="K30" i="4"/>
  <c r="H30" i="4"/>
  <c r="G30" i="4"/>
  <c r="F30" i="4"/>
  <c r="E30" i="4"/>
  <c r="D30" i="4"/>
  <c r="C30" i="4"/>
  <c r="B30" i="4"/>
  <c r="AI29" i="4"/>
  <c r="AH29" i="4"/>
  <c r="AG29" i="4"/>
  <c r="AF29" i="4"/>
  <c r="AE29" i="4"/>
  <c r="AD29" i="4"/>
  <c r="AC29" i="4"/>
  <c r="Z29" i="4"/>
  <c r="Y29" i="4"/>
  <c r="X29" i="4"/>
  <c r="W29" i="4"/>
  <c r="V29" i="4"/>
  <c r="U29" i="4"/>
  <c r="T29" i="4"/>
  <c r="Q29" i="4"/>
  <c r="P29" i="4"/>
  <c r="O29" i="4"/>
  <c r="N29" i="4"/>
  <c r="M29" i="4"/>
  <c r="L29" i="4"/>
  <c r="K29" i="4"/>
  <c r="H29" i="4"/>
  <c r="G29" i="4"/>
  <c r="F29" i="4"/>
  <c r="E29" i="4"/>
  <c r="C29" i="4"/>
  <c r="B29" i="4"/>
  <c r="AI28" i="4"/>
  <c r="AH28" i="4"/>
  <c r="AG28" i="4"/>
  <c r="AF28" i="4"/>
  <c r="AE28" i="4"/>
  <c r="AD28" i="4"/>
  <c r="AC28" i="4"/>
  <c r="Z28" i="4"/>
  <c r="Y28" i="4"/>
  <c r="X28" i="4"/>
  <c r="W28" i="4"/>
  <c r="V28" i="4"/>
  <c r="U28" i="4"/>
  <c r="T28" i="4"/>
  <c r="Q28" i="4"/>
  <c r="P28" i="4"/>
  <c r="O28" i="4"/>
  <c r="N28" i="4"/>
  <c r="M28" i="4"/>
  <c r="L28" i="4"/>
  <c r="K28" i="4"/>
  <c r="H28" i="4"/>
  <c r="G28" i="4"/>
  <c r="F28" i="4"/>
  <c r="E28" i="4"/>
  <c r="D28" i="4"/>
  <c r="C28" i="4"/>
  <c r="B28" i="4"/>
  <c r="AC26" i="4"/>
  <c r="T26" i="4"/>
  <c r="K26" i="4"/>
  <c r="B26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AC35" i="4"/>
  <c r="T35" i="4"/>
  <c r="K35" i="4"/>
  <c r="B35" i="4"/>
  <c r="AO3" i="4" l="1"/>
</calcChain>
</file>

<file path=xl/sharedStrings.xml><?xml version="1.0" encoding="utf-8"?>
<sst xmlns="http://schemas.openxmlformats.org/spreadsheetml/2006/main" count="371" uniqueCount="98">
  <si>
    <t>S</t>
  </si>
  <si>
    <t>P</t>
  </si>
  <si>
    <t>U</t>
  </si>
  <si>
    <t>Č</t>
  </si>
  <si>
    <t>N</t>
  </si>
  <si>
    <t>Hrvatski</t>
  </si>
  <si>
    <t>Njemački</t>
  </si>
  <si>
    <t>Engleski</t>
  </si>
  <si>
    <t>Matematika</t>
  </si>
  <si>
    <t>Kemija</t>
  </si>
  <si>
    <t>Fizika</t>
  </si>
  <si>
    <t>Povijest</t>
  </si>
  <si>
    <t>Tehnički</t>
  </si>
  <si>
    <t>Neradni</t>
  </si>
  <si>
    <t>Blagdani</t>
  </si>
  <si>
    <t>Nenastavni dani</t>
  </si>
  <si>
    <t>Opis</t>
  </si>
  <si>
    <t>Dan neovisnosti</t>
  </si>
  <si>
    <t>Svi sveti</t>
  </si>
  <si>
    <t>Božić</t>
  </si>
  <si>
    <t>Sveti Stjepan</t>
  </si>
  <si>
    <t>Nova Godina</t>
  </si>
  <si>
    <t>Sveta tri kralja</t>
  </si>
  <si>
    <t>Uskrs</t>
  </si>
  <si>
    <t>Uskrsni ponedjeljak</t>
  </si>
  <si>
    <t>Praznik rada</t>
  </si>
  <si>
    <t>Tijelovo</t>
  </si>
  <si>
    <t>Dan antifašističke borbe</t>
  </si>
  <si>
    <t>Dan državnosti</t>
  </si>
  <si>
    <t>Dan pobjede i domovinske zahvalnosti</t>
  </si>
  <si>
    <t>Velika Gospa</t>
  </si>
  <si>
    <t>Vremenik ispita</t>
  </si>
  <si>
    <t>Geografija</t>
  </si>
  <si>
    <t>Likovna kultura</t>
  </si>
  <si>
    <t>Glazbena kultura</t>
  </si>
  <si>
    <t>Njemački jezik</t>
  </si>
  <si>
    <t>Engleski jezik</t>
  </si>
  <si>
    <t>Priroda/Bilogija</t>
  </si>
  <si>
    <t>Tehnička kultura</t>
  </si>
  <si>
    <t>Hrvatski jezik</t>
  </si>
  <si>
    <t>Tjelesna i zdr. Kult.</t>
  </si>
  <si>
    <t>0</t>
  </si>
  <si>
    <t>Informatika</t>
  </si>
  <si>
    <t>-</t>
  </si>
  <si>
    <t>Likovni</t>
  </si>
  <si>
    <t>Glazbeni</t>
  </si>
  <si>
    <t>Pri/Bio</t>
  </si>
  <si>
    <t>Mat</t>
  </si>
  <si>
    <t>Tjelesni</t>
  </si>
  <si>
    <t>I OBRAZOVNO RAZDOBLJE</t>
  </si>
  <si>
    <t>II OBRAZOVNO RAZDOBLJE</t>
  </si>
  <si>
    <t>Razredni odjel</t>
  </si>
  <si>
    <t>Razrednik</t>
  </si>
  <si>
    <t>Škola</t>
  </si>
  <si>
    <t>1.a</t>
  </si>
  <si>
    <t>Marija Banović</t>
  </si>
  <si>
    <t>OŠ Kneževi Vinogradi</t>
  </si>
  <si>
    <t>2.a</t>
  </si>
  <si>
    <t>Kristina čičak</t>
  </si>
  <si>
    <t>3.a</t>
  </si>
  <si>
    <t>Dunja Kufner</t>
  </si>
  <si>
    <t>4.a</t>
  </si>
  <si>
    <t>Mihaela Kikić</t>
  </si>
  <si>
    <t>5.a</t>
  </si>
  <si>
    <t>Miloš Mihajlović</t>
  </si>
  <si>
    <t>5.c</t>
  </si>
  <si>
    <t>Vedran Hozjan</t>
  </si>
  <si>
    <t>6.a</t>
  </si>
  <si>
    <t>Ivica Prgomet</t>
  </si>
  <si>
    <t>6.c</t>
  </si>
  <si>
    <t>Nebojša Slijepčević</t>
  </si>
  <si>
    <t>7.a</t>
  </si>
  <si>
    <t>Mirela Bazikić</t>
  </si>
  <si>
    <t>7.c</t>
  </si>
  <si>
    <t>Katarina Luković</t>
  </si>
  <si>
    <t>8.a</t>
  </si>
  <si>
    <t>Slavojka Petrović</t>
  </si>
  <si>
    <t>8.c</t>
  </si>
  <si>
    <t>1.k</t>
  </si>
  <si>
    <t>Ildiko Farkaš</t>
  </si>
  <si>
    <t>OŠ Kneževi Vinogradi, PŠ Karanac</t>
  </si>
  <si>
    <t>2.k</t>
  </si>
  <si>
    <t>3.k</t>
  </si>
  <si>
    <t>Sofija Petrović</t>
  </si>
  <si>
    <t>4.k</t>
  </si>
  <si>
    <t>1.g</t>
  </si>
  <si>
    <t>Tamara Đapić</t>
  </si>
  <si>
    <t>OŠ Kneževi Vinogradi, PŠ Grabovac</t>
  </si>
  <si>
    <t>2.g</t>
  </si>
  <si>
    <t>Julijana Balint</t>
  </si>
  <si>
    <t>3.g</t>
  </si>
  <si>
    <t>4.g</t>
  </si>
  <si>
    <t>Razred:</t>
  </si>
  <si>
    <t>r.br</t>
  </si>
  <si>
    <t>R.br</t>
  </si>
  <si>
    <t>Razrednik:</t>
  </si>
  <si>
    <t>Stupac1</t>
  </si>
  <si>
    <t>Monika Samardžić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</si>
</sst>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"/>
    <numFmt numFmtId="165" formatCode="ddd\ \-\ d/m/yyyy"/>
    <numFmt numFmtId="166" formatCode="mmmm\ \/\ mm"/>
    <numFmt numFmtId="167" formatCode="ddd\ \-\ d/m/yy"/>
  </numFmts>
  <fonts count="21" x14ac:knownFonts="1">
    <font>
      <sz val="10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6"/>
      <color theme="0"/>
      <name val="Cambria"/>
      <family val="1"/>
      <scheme val="major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color theme="0"/>
      <name val="Cambria"/>
      <family val="1"/>
      <scheme val="major"/>
    </font>
    <font>
      <sz val="10"/>
      <color theme="4"/>
      <name val="Cambria"/>
      <scheme val="major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208C5B"/>
        <bgColor indexed="64"/>
      </patternFill>
    </fill>
    <fill>
      <patternFill patternType="solid">
        <fgColor rgb="FF208C5B"/>
        <bgColor theme="7"/>
      </patternFill>
    </fill>
    <fill>
      <patternFill patternType="solid">
        <fgColor rgb="FF92D050"/>
        <bgColor theme="7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theme="7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double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2" fillId="0" borderId="0"/>
  </cellStyleXfs>
  <cellXfs count="81">
    <xf numFmtId="0" fontId="0" fillId="0" borderId="0" xfId="0"/>
    <xf numFmtId="0" fontId="3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4" fillId="0" borderId="0" xfId="0" applyFont="1"/>
    <xf numFmtId="0" fontId="6" fillId="0" borderId="0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Border="1"/>
    <xf numFmtId="0" fontId="0" fillId="0" borderId="0" xfId="0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horizontal="left" indent="1"/>
    </xf>
    <xf numFmtId="0" fontId="2" fillId="2" borderId="0" xfId="0" applyFont="1" applyFill="1" applyAlignment="1"/>
    <xf numFmtId="0" fontId="2" fillId="2" borderId="0" xfId="0" applyFont="1" applyFill="1" applyAlignment="1"/>
    <xf numFmtId="14" fontId="2" fillId="2" borderId="0" xfId="0" applyNumberFormat="1" applyFont="1" applyFill="1" applyAlignment="1"/>
    <xf numFmtId="14" fontId="0" fillId="0" borderId="0" xfId="0" applyNumberFormat="1"/>
    <xf numFmtId="14" fontId="9" fillId="2" borderId="0" xfId="0" applyNumberFormat="1" applyFont="1" applyFill="1"/>
    <xf numFmtId="14" fontId="1" fillId="2" borderId="0" xfId="0" applyNumberFormat="1" applyFont="1" applyFill="1" applyAlignment="1">
      <alignment horizontal="left" indent="1"/>
    </xf>
    <xf numFmtId="165" fontId="2" fillId="2" borderId="0" xfId="0" applyNumberFormat="1" applyFont="1" applyFill="1" applyAlignment="1"/>
    <xf numFmtId="0" fontId="8" fillId="2" borderId="0" xfId="0" applyFont="1" applyFill="1" applyAlignment="1"/>
    <xf numFmtId="16" fontId="2" fillId="2" borderId="0" xfId="0" applyNumberFormat="1" applyFont="1" applyFill="1" applyAlignment="1"/>
    <xf numFmtId="0" fontId="15" fillId="2" borderId="0" xfId="0" applyFont="1" applyFill="1" applyAlignment="1"/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 applyAlignment="1"/>
    <xf numFmtId="0" fontId="0" fillId="3" borderId="0" xfId="0" applyFill="1"/>
    <xf numFmtId="14" fontId="0" fillId="0" borderId="0" xfId="0" applyNumberFormat="1" applyFont="1" applyFill="1"/>
    <xf numFmtId="14" fontId="0" fillId="0" borderId="0" xfId="0" applyNumberFormat="1" applyFill="1" applyAlignment="1">
      <alignment textRotation="90" shrinkToFit="1"/>
    </xf>
    <xf numFmtId="0" fontId="0" fillId="6" borderId="0" xfId="0" applyFill="1"/>
    <xf numFmtId="167" fontId="0" fillId="0" borderId="0" xfId="0" applyNumberFormat="1" applyFont="1" applyFill="1"/>
    <xf numFmtId="0" fontId="8" fillId="3" borderId="0" xfId="0" applyFont="1" applyFill="1" applyAlignment="1"/>
    <xf numFmtId="0" fontId="9" fillId="3" borderId="0" xfId="0" applyFont="1" applyFill="1" applyAlignment="1"/>
    <xf numFmtId="14" fontId="18" fillId="0" borderId="0" xfId="0" applyNumberFormat="1" applyFont="1" applyAlignment="1">
      <alignment horizontal="center" vertical="center"/>
    </xf>
    <xf numFmtId="0" fontId="8" fillId="3" borderId="0" xfId="0" applyFont="1" applyFill="1" applyBorder="1" applyAlignment="1"/>
    <xf numFmtId="0" fontId="13" fillId="3" borderId="0" xfId="0" applyFont="1" applyFill="1" applyAlignment="1"/>
    <xf numFmtId="0" fontId="19" fillId="3" borderId="0" xfId="0" applyFont="1" applyFill="1" applyAlignment="1"/>
    <xf numFmtId="165" fontId="2" fillId="8" borderId="0" xfId="0" applyNumberFormat="1" applyFont="1" applyFill="1" applyAlignment="1"/>
    <xf numFmtId="16" fontId="2" fillId="8" borderId="0" xfId="0" applyNumberFormat="1" applyFont="1" applyFill="1" applyAlignment="1"/>
    <xf numFmtId="0" fontId="10" fillId="8" borderId="0" xfId="0" applyFont="1" applyFill="1"/>
    <xf numFmtId="0" fontId="18" fillId="0" borderId="0" xfId="0" applyFont="1" applyAlignment="1" applyProtection="1">
      <alignment horizontal="center" vertical="center"/>
      <protection locked="0" hidden="1"/>
    </xf>
    <xf numFmtId="0" fontId="20" fillId="2" borderId="0" xfId="0" applyFont="1" applyFill="1" applyAlignment="1"/>
    <xf numFmtId="0" fontId="14" fillId="7" borderId="2" xfId="0" applyFont="1" applyFill="1" applyBorder="1" applyAlignment="1" applyProtection="1">
      <alignment horizontal="center" vertical="center"/>
      <protection locked="0"/>
    </xf>
    <xf numFmtId="0" fontId="14" fillId="7" borderId="3" xfId="0" applyFont="1" applyFill="1" applyBorder="1" applyAlignment="1" applyProtection="1">
      <alignment horizontal="center" vertical="center"/>
      <protection locked="0"/>
    </xf>
    <xf numFmtId="0" fontId="14" fillId="7" borderId="4" xfId="0" applyFont="1" applyFill="1" applyBorder="1" applyAlignment="1" applyProtection="1">
      <alignment horizontal="center" vertical="center"/>
      <protection locked="0"/>
    </xf>
    <xf numFmtId="0" fontId="14" fillId="7" borderId="5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5" fillId="0" borderId="0" xfId="0" applyNumberFormat="1" applyFont="1" applyFill="1" applyBorder="1" applyAlignment="1">
      <alignment horizontal="left"/>
    </xf>
    <xf numFmtId="0" fontId="14" fillId="7" borderId="9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0" xfId="0" applyFont="1" applyFill="1" applyAlignment="1" applyProtection="1">
      <alignment horizontal="right"/>
      <protection locked="0"/>
    </xf>
    <xf numFmtId="0" fontId="13" fillId="3" borderId="0" xfId="0" applyFont="1" applyFill="1" applyAlignment="1">
      <alignment horizontal="center"/>
    </xf>
  </cellXfs>
  <cellStyles count="2">
    <cellStyle name="Normal 2" xfId="1"/>
    <cellStyle name="Normalno" xfId="0" builtinId="0" customBuiltin="1"/>
  </cellStyles>
  <dxfs count="38">
    <dxf>
      <numFmt numFmtId="167" formatCode="ddd\ \-\ d/m/yy"/>
    </dxf>
    <dxf>
      <numFmt numFmtId="167" formatCode="ddd\ \-\ d/m/yy"/>
    </dxf>
    <dxf>
      <numFmt numFmtId="167" formatCode="ddd\ \-\ d/m/yy"/>
    </dxf>
    <dxf>
      <numFmt numFmtId="167" formatCode="ddd\ \-\ d/m/yy"/>
    </dxf>
    <dxf>
      <numFmt numFmtId="167" formatCode="ddd\ \-\ d/m/yy"/>
    </dxf>
    <dxf>
      <numFmt numFmtId="167" formatCode="ddd\ \-\ d/m/yy"/>
    </dxf>
    <dxf>
      <numFmt numFmtId="167" formatCode="ddd\ \-\ d/m/yy"/>
    </dxf>
    <dxf>
      <numFmt numFmtId="167" formatCode="ddd\ \-\ d/m/yy"/>
    </dxf>
    <dxf>
      <numFmt numFmtId="167" formatCode="ddd\ \-\ d/m/yy"/>
    </dxf>
    <dxf>
      <numFmt numFmtId="167" formatCode="ddd\ \-\ d/m/yy"/>
    </dxf>
    <dxf>
      <numFmt numFmtId="167" formatCode="ddd\ \-\ d/m/yy"/>
    </dxf>
    <dxf>
      <numFmt numFmtId="167" formatCode="ddd\ \-\ d/m/yy"/>
    </dxf>
    <dxf>
      <numFmt numFmtId="167" formatCode="ddd\ \-\ d/m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d\ \-\ d/m/yy"/>
      <fill>
        <patternFill patternType="none">
          <fgColor indexed="64"/>
          <bgColor indexed="65"/>
        </patternFill>
      </fill>
    </dxf>
    <dxf>
      <numFmt numFmtId="167" formatCode="ddd\ \-\ d/m/yy"/>
      <fill>
        <patternFill patternType="none">
          <fgColor indexed="64"/>
          <bgColor auto="1"/>
        </patternFill>
      </fill>
    </dxf>
    <dxf>
      <numFmt numFmtId="167" formatCode="ddd\ \-\ d/m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mbria"/>
        <scheme val="major"/>
      </font>
      <fill>
        <patternFill patternType="solid">
          <fgColor indexed="64"/>
          <bgColor theme="1" tint="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mbria"/>
        <scheme val="major"/>
      </font>
      <fill>
        <patternFill patternType="solid">
          <fgColor indexed="64"/>
          <bgColor theme="1" tint="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Cambria"/>
        <scheme val="major"/>
      </font>
      <numFmt numFmtId="19" formatCode="d/m/yyyy"/>
      <fill>
        <patternFill patternType="solid">
          <fgColor indexed="64"/>
          <bgColor theme="1" tint="0.14999847407452621"/>
        </patternFill>
      </fill>
      <alignment horizontal="general" vertical="bottom" textRotation="0" wrapText="0" indent="0" justifyLastLine="0" shrinkToFit="0" readingOrder="0"/>
    </dxf>
    <dxf>
      <fill>
        <patternFill>
          <bgColor rgb="FFFF0000"/>
        </patternFill>
      </fill>
    </dxf>
    <dxf>
      <border>
        <left style="hair">
          <color rgb="FFFFC000"/>
        </left>
        <right style="hair">
          <color rgb="FFFFC000"/>
        </right>
        <top style="hair">
          <color rgb="FFFFC000"/>
        </top>
        <bottom style="hair">
          <color rgb="FFFFC000"/>
        </bottom>
        <vertical/>
        <horizontal/>
      </border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 patternType="solid"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colors>
    <mruColors>
      <color rgb="FF208C5B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AD$3" max="2999" min="1900" page="10" val="2015"/>
</file>

<file path=xl/ctrlProps/ctrlProp2.xml><?xml version="1.0" encoding="utf-8"?>
<formControlPr xmlns="http://schemas.microsoft.com/office/spreadsheetml/2009/9/main" objectType="Spin" dx="16" fmlaLink="$AP$1" max="20" min="1" page="10" val="13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22413</xdr:colOff>
      <xdr:row>0</xdr:row>
      <xdr:rowOff>622146</xdr:rowOff>
    </xdr:from>
    <xdr:to>
      <xdr:col>37</xdr:col>
      <xdr:colOff>235325</xdr:colOff>
      <xdr:row>23</xdr:row>
      <xdr:rowOff>191476</xdr:rowOff>
    </xdr:to>
    <xdr:sp macro="" textlink="">
      <xdr:nvSpPr>
        <xdr:cNvPr id="2" name="Chalkboard frame" descr="Shape with wood texture fill, used to create a chalkboard frame."/>
        <xdr:cNvSpPr/>
      </xdr:nvSpPr>
      <xdr:spPr>
        <a:xfrm>
          <a:off x="22413" y="622146"/>
          <a:ext cx="8236324" cy="508262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8592</xdr:colOff>
      <xdr:row>0</xdr:row>
      <xdr:rowOff>179483</xdr:rowOff>
    </xdr:from>
    <xdr:to>
      <xdr:col>27</xdr:col>
      <xdr:colOff>78441</xdr:colOff>
      <xdr:row>0</xdr:row>
      <xdr:rowOff>503332</xdr:rowOff>
    </xdr:to>
    <xdr:sp macro="" textlink="">
      <xdr:nvSpPr>
        <xdr:cNvPr id="7" name="Instructions" descr="To change the calendar year, click the spinner"/>
        <xdr:cNvSpPr txBox="1"/>
      </xdr:nvSpPr>
      <xdr:spPr>
        <a:xfrm>
          <a:off x="1353298" y="179483"/>
          <a:ext cx="4440143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hr-HR" sz="1000" b="0" i="1">
              <a:solidFill>
                <a:schemeClr val="tx1">
                  <a:lumMod val="65000"/>
                  <a:lumOff val="35000"/>
                </a:schemeClr>
              </a:solidFill>
            </a:rPr>
            <a:t>- </a:t>
          </a:r>
          <a:r>
            <a:rPr lang="en-US" sz="1000" b="0" i="1">
              <a:solidFill>
                <a:schemeClr val="tx1">
                  <a:lumMod val="65000"/>
                  <a:lumOff val="35000"/>
                </a:schemeClr>
              </a:solidFill>
            </a:rPr>
            <a:t>Da biste promijenili </a:t>
          </a:r>
          <a:r>
            <a:rPr lang="hr-HR" sz="1000" b="0" i="1">
              <a:solidFill>
                <a:schemeClr val="tx1">
                  <a:lumMod val="65000"/>
                  <a:lumOff val="35000"/>
                </a:schemeClr>
              </a:solidFill>
            </a:rPr>
            <a:t>razred</a:t>
          </a:r>
          <a:r>
            <a:rPr lang="en-US" sz="1000" b="0" i="1">
              <a:solidFill>
                <a:schemeClr val="tx1">
                  <a:lumMod val="65000"/>
                  <a:lumOff val="35000"/>
                </a:schemeClr>
              </a:solidFill>
            </a:rPr>
            <a:t>, kliknite strelicu za pomicanje</a:t>
          </a:r>
          <a:endParaRPr lang="hr-HR" sz="1000" b="0" i="1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/>
          <a:r>
            <a:rPr lang="hr-HR" sz="1000" b="0" i="1">
              <a:solidFill>
                <a:schemeClr val="tx1">
                  <a:lumMod val="65000"/>
                  <a:lumOff val="35000"/>
                </a:schemeClr>
              </a:solidFill>
            </a:rPr>
            <a:t>- U ćelije upišite </a:t>
          </a:r>
          <a:r>
            <a:rPr lang="hr-HR" sz="1000" b="1" i="1">
              <a:solidFill>
                <a:schemeClr val="tx1">
                  <a:lumMod val="65000"/>
                  <a:lumOff val="35000"/>
                </a:schemeClr>
              </a:solidFill>
            </a:rPr>
            <a:t>samo dan</a:t>
          </a:r>
          <a:r>
            <a:rPr lang="hr-HR" sz="1000" b="1" i="1" baseline="0">
              <a:solidFill>
                <a:schemeClr val="tx1">
                  <a:lumMod val="65000"/>
                  <a:lumOff val="35000"/>
                </a:schemeClr>
              </a:solidFill>
            </a:rPr>
            <a:t> u mjesecu </a:t>
          </a:r>
          <a:r>
            <a:rPr lang="hr-HR" sz="1000" b="0" i="1" baseline="0">
              <a:solidFill>
                <a:schemeClr val="tx1">
                  <a:lumMod val="65000"/>
                  <a:lumOff val="35000"/>
                </a:schemeClr>
              </a:solidFill>
            </a:rPr>
            <a:t>- ukoliko je ćelija prazna mora biti -</a:t>
          </a:r>
        </a:p>
        <a:p>
          <a:pPr algn="l"/>
          <a:endParaRPr lang="en-US" sz="1000" b="0" i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200025</xdr:colOff>
          <xdr:row>2</xdr:row>
          <xdr:rowOff>85725</xdr:rowOff>
        </xdr:from>
        <xdr:to>
          <xdr:col>36</xdr:col>
          <xdr:colOff>114300</xdr:colOff>
          <xdr:row>2</xdr:row>
          <xdr:rowOff>390525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9525</xdr:rowOff>
        </xdr:from>
        <xdr:to>
          <xdr:col>11</xdr:col>
          <xdr:colOff>9525</xdr:colOff>
          <xdr:row>3</xdr:row>
          <xdr:rowOff>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2" name="Tablica2" displayName="Tablica2" ref="AO6:AR128" totalsRowShown="0">
  <autoFilter ref="AO6:AR128"/>
  <tableColumns count="4">
    <tableColumn id="1" name="Neradni" dataDxfId="18"/>
    <tableColumn id="2" name="Blagdani" dataDxfId="17"/>
    <tableColumn id="4" name="Opis" dataDxfId="16"/>
    <tableColumn id="3" name="Nenastavni dani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lica1" displayName="Tablica1" ref="AT5:BH15" totalsRowShown="0" dataDxfId="15">
  <autoFilter ref="AT5:BH15"/>
  <tableColumns count="15">
    <tableColumn id="1" name="Hrvatski" dataDxfId="14"/>
    <tableColumn id="2" name="Likovni" dataDxfId="13"/>
    <tableColumn id="3" name="Glazbeni" dataDxfId="12"/>
    <tableColumn id="4" name="Njemački" dataDxfId="11"/>
    <tableColumn id="5" name="Engleski" dataDxfId="10"/>
    <tableColumn id="6" name="Mat" dataDxfId="9"/>
    <tableColumn id="7" name="Pri/Bio" dataDxfId="8"/>
    <tableColumn id="8" name="Kemija" dataDxfId="7"/>
    <tableColumn id="9" name="Fizika" dataDxfId="6"/>
    <tableColumn id="10" name="Povijest" dataDxfId="5"/>
    <tableColumn id="11" name="Geografija" dataDxfId="4"/>
    <tableColumn id="12" name="Tehnički" dataDxfId="3"/>
    <tableColumn id="13" name="Tjelesni" dataDxfId="2"/>
    <tableColumn id="14" name="Informatika" dataDxfId="1"/>
    <tableColumn id="15" name="0" dataDxfId="0"/>
  </tableColumns>
  <tableStyleInfo name="TableStyleMedium19" showFirstColumn="0" showLastColumn="0" showRowStripes="0" showColumnStripes="1"/>
</table>
</file>

<file path=xl/tables/table3.xml><?xml version="1.0" encoding="utf-8"?>
<table xmlns="http://schemas.openxmlformats.org/spreadsheetml/2006/main" id="3" name="Tablica3" displayName="Tablica3" ref="B1:E21" totalsRowShown="0">
  <autoFilter ref="B1:E21"/>
  <sortState ref="B2:D21">
    <sortCondition ref="B1:B21"/>
  </sortState>
  <tableColumns count="4">
    <tableColumn id="1" name="Razredni odjel"/>
    <tableColumn id="2" name="Razrednik"/>
    <tableColumn id="3" name="Škola"/>
    <tableColumn id="4" name="Stupac1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4"/>
    <pageSetUpPr autoPageBreaks="0" fitToPage="1"/>
  </sheetPr>
  <dimension ref="B1:BI128"/>
  <sheetViews>
    <sheetView showGridLines="0" tabSelected="1" topLeftCell="C1" zoomScale="85" zoomScaleNormal="85" workbookViewId="0">
      <selection activeCell="T17" sqref="T17:V17"/>
    </sheetView>
  </sheetViews>
  <sheetFormatPr defaultRowHeight="12.75" x14ac:dyDescent="0.2"/>
  <cols>
    <col min="1" max="8" width="3.28515625" customWidth="1"/>
    <col min="9" max="10" width="2.28515625" customWidth="1"/>
    <col min="11" max="17" width="3.28515625" customWidth="1"/>
    <col min="18" max="19" width="2.28515625" customWidth="1"/>
    <col min="20" max="26" width="3.28515625" customWidth="1"/>
    <col min="27" max="28" width="2.28515625" customWidth="1"/>
    <col min="29" max="36" width="3.28515625" customWidth="1"/>
    <col min="37" max="37" width="4.28515625" customWidth="1"/>
    <col min="38" max="38" width="3.7109375" customWidth="1"/>
    <col min="39" max="40" width="9.140625" hidden="1" customWidth="1"/>
    <col min="41" max="41" width="14.140625" style="21" hidden="1" customWidth="1"/>
    <col min="42" max="42" width="20.140625" hidden="1" customWidth="1"/>
    <col min="43" max="43" width="23.28515625" hidden="1" customWidth="1"/>
    <col min="44" max="44" width="19.7109375" hidden="1" customWidth="1"/>
    <col min="45" max="45" width="0" hidden="1" customWidth="1"/>
    <col min="46" max="46" width="15.7109375" hidden="1" customWidth="1"/>
    <col min="47" max="47" width="11.42578125" hidden="1" customWidth="1"/>
    <col min="48" max="48" width="10.5703125" hidden="1" customWidth="1"/>
    <col min="49" max="60" width="15.7109375" hidden="1" customWidth="1"/>
    <col min="61" max="68" width="0" hidden="1" customWidth="1"/>
  </cols>
  <sheetData>
    <row r="1" spans="2:61" ht="66" customHeight="1" x14ac:dyDescent="0.2">
      <c r="C1" s="14"/>
      <c r="D1" s="14"/>
      <c r="E1" s="14"/>
      <c r="F1" s="14"/>
      <c r="G1" s="14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O1" s="38" t="s">
        <v>94</v>
      </c>
      <c r="AP1" s="45">
        <v>13</v>
      </c>
    </row>
    <row r="2" spans="2:61" ht="15" customHeight="1" x14ac:dyDescent="0.2">
      <c r="B2" s="28"/>
      <c r="C2" s="28"/>
      <c r="D2" s="29"/>
      <c r="E2" s="29"/>
      <c r="F2" s="29"/>
      <c r="G2" s="29"/>
      <c r="H2" s="29"/>
      <c r="I2" s="29"/>
      <c r="J2" s="29"/>
      <c r="K2" s="29"/>
      <c r="L2" s="29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31"/>
      <c r="AK2" s="31"/>
      <c r="AO2" s="22"/>
      <c r="AP2" s="16"/>
      <c r="AQ2" s="16"/>
      <c r="AR2" s="16"/>
    </row>
    <row r="3" spans="2:61" ht="34.5" x14ac:dyDescent="0.45">
      <c r="B3" s="29"/>
      <c r="C3" s="75" t="s">
        <v>92</v>
      </c>
      <c r="D3" s="75"/>
      <c r="E3" s="75"/>
      <c r="F3" s="75"/>
      <c r="G3" s="76" t="str">
        <f>VLOOKUP($AP$1,Nastavnici!A1:D21,2,FALSE)</f>
        <v>5.a</v>
      </c>
      <c r="H3" s="77"/>
      <c r="I3" s="77"/>
      <c r="J3" s="78"/>
      <c r="K3" s="39"/>
      <c r="L3" s="39"/>
      <c r="M3" s="39"/>
      <c r="N3" s="36"/>
      <c r="O3" s="36"/>
      <c r="P3" s="36" t="s">
        <v>31</v>
      </c>
      <c r="Q3" s="36"/>
      <c r="R3" s="31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79">
        <v>2015</v>
      </c>
      <c r="AE3" s="79"/>
      <c r="AF3" s="79"/>
      <c r="AG3" s="79"/>
      <c r="AH3" s="79"/>
      <c r="AI3" s="28"/>
      <c r="AJ3" s="31"/>
      <c r="AK3" s="31"/>
      <c r="AO3" s="27" t="str">
        <f>CONCATENATE("Školska godina ",CalendarYear,"/",AF4)</f>
        <v>Školska godina 2015/2016</v>
      </c>
      <c r="AP3" s="25"/>
      <c r="AQ3" s="25"/>
      <c r="AR3" s="16"/>
    </row>
    <row r="4" spans="2:61" ht="21" x14ac:dyDescent="0.35">
      <c r="B4" s="28"/>
      <c r="C4" s="75" t="s">
        <v>95</v>
      </c>
      <c r="D4" s="75"/>
      <c r="E4" s="75"/>
      <c r="F4" s="75"/>
      <c r="G4" s="37" t="str">
        <f>VLOOKUP($AP$1,Nastavnici!A1:D21,3,FALSE)</f>
        <v>Slavojka Petrović</v>
      </c>
      <c r="H4" s="37"/>
      <c r="I4" s="37"/>
      <c r="J4" s="37"/>
      <c r="K4" s="37"/>
      <c r="L4" s="28"/>
      <c r="M4" s="28"/>
      <c r="N4" s="28"/>
      <c r="O4" s="28"/>
      <c r="P4" s="40" t="str">
        <f>VLOOKUP($AP$1,Nastavnici!A1:D21,4,FALSE)</f>
        <v>OŠ Kneževi Vinogradi</v>
      </c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28"/>
      <c r="AD4" s="28"/>
      <c r="AE4" s="28"/>
      <c r="AF4" s="80">
        <f>CalendarYear+1</f>
        <v>2016</v>
      </c>
      <c r="AG4" s="80"/>
      <c r="AH4" s="80"/>
      <c r="AI4" s="28"/>
      <c r="AJ4" s="31"/>
      <c r="AK4" s="31"/>
      <c r="AO4" s="22"/>
      <c r="AP4" s="15"/>
      <c r="AQ4" s="15"/>
      <c r="AR4" s="16"/>
    </row>
    <row r="5" spans="2:61" ht="15.75" x14ac:dyDescent="0.2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41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1"/>
      <c r="AK5" s="31"/>
      <c r="AO5" s="23"/>
      <c r="AP5" s="17"/>
      <c r="AQ5" s="17"/>
      <c r="AR5" s="16"/>
      <c r="AT5" t="s">
        <v>5</v>
      </c>
      <c r="AU5" t="s">
        <v>44</v>
      </c>
      <c r="AV5" t="s">
        <v>45</v>
      </c>
      <c r="AW5" t="s">
        <v>6</v>
      </c>
      <c r="AX5" t="s">
        <v>7</v>
      </c>
      <c r="AY5" t="s">
        <v>47</v>
      </c>
      <c r="AZ5" t="s">
        <v>46</v>
      </c>
      <c r="BA5" t="s">
        <v>9</v>
      </c>
      <c r="BB5" t="s">
        <v>10</v>
      </c>
      <c r="BC5" t="s">
        <v>11</v>
      </c>
      <c r="BD5" t="s">
        <v>32</v>
      </c>
      <c r="BE5" t="s">
        <v>12</v>
      </c>
      <c r="BF5" t="s">
        <v>48</v>
      </c>
      <c r="BG5" t="s">
        <v>42</v>
      </c>
      <c r="BH5" t="s">
        <v>41</v>
      </c>
    </row>
    <row r="6" spans="2:61" ht="14.25" customHeight="1" x14ac:dyDescent="0.25">
      <c r="B6" s="30"/>
      <c r="C6" s="30"/>
      <c r="D6" s="30"/>
      <c r="E6" s="30"/>
      <c r="F6" s="30"/>
      <c r="G6" s="30"/>
      <c r="H6" s="72" t="s">
        <v>49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4"/>
      <c r="T6" s="72" t="s">
        <v>50</v>
      </c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4"/>
      <c r="AN6" s="34" t="s">
        <v>43</v>
      </c>
      <c r="AO6" s="20" t="s">
        <v>13</v>
      </c>
      <c r="AP6" s="18" t="s">
        <v>14</v>
      </c>
      <c r="AQ6" s="19" t="s">
        <v>16</v>
      </c>
      <c r="AR6" s="16" t="s">
        <v>15</v>
      </c>
      <c r="AS6">
        <v>9</v>
      </c>
      <c r="AT6" s="35" t="str">
        <f>IFERROR(DATE(CalendarYear,H$7,H8)," ")</f>
        <v xml:space="preserve"> </v>
      </c>
      <c r="AU6" s="35" t="str">
        <f>IFERROR(DATE(CalendarYear,H$7,H9)," ")</f>
        <v xml:space="preserve"> </v>
      </c>
      <c r="AV6" s="35" t="str">
        <f>IFERROR(DATE(CalendarYear,H$7,H10)," ")</f>
        <v xml:space="preserve"> </v>
      </c>
      <c r="AW6" s="35" t="str">
        <f>IFERROR(DATE(CalendarYear,H$7,H11)," ")</f>
        <v xml:space="preserve"> </v>
      </c>
      <c r="AX6" s="35" t="str">
        <f>IFERROR(DATE(CalendarYear,H$7,H12)," ")</f>
        <v xml:space="preserve"> </v>
      </c>
      <c r="AY6" s="35" t="str">
        <f>IFERROR(DATE(CalendarYear,H$7,H13)," ")</f>
        <v xml:space="preserve"> </v>
      </c>
      <c r="AZ6" s="35" t="str">
        <f>IFERROR(DATE(CalendarYear,H$7,H14)," ")</f>
        <v xml:space="preserve"> </v>
      </c>
      <c r="BA6" s="35" t="str">
        <f>IFERROR(DATE(CalendarYear,H$7,H15)," ")</f>
        <v xml:space="preserve"> </v>
      </c>
      <c r="BB6" s="35" t="str">
        <f>IFERROR(DATE(CalendarYear,H$7,H16)," ")</f>
        <v xml:space="preserve"> </v>
      </c>
      <c r="BC6" s="35" t="str">
        <f>IFERROR(DATE(CalendarYear,H$7,H17)," ")</f>
        <v xml:space="preserve"> </v>
      </c>
      <c r="BD6" s="35" t="str">
        <f>IFERROR(DATE(CalendarYear,H$7,H18)," ")</f>
        <v xml:space="preserve"> </v>
      </c>
      <c r="BE6" s="35" t="str">
        <f>IFERROR(DATE(CalendarYear,H$7,H19)," ")</f>
        <v xml:space="preserve"> </v>
      </c>
      <c r="BF6" s="35" t="str">
        <f>IFERROR(DATE(CalendarYear,H$7,H20)," ")</f>
        <v xml:space="preserve"> </v>
      </c>
      <c r="BG6" s="35" t="str">
        <f>IFERROR(DATE(CalendarYear,H$7,H21)," ")</f>
        <v xml:space="preserve"> </v>
      </c>
      <c r="BH6" s="35" t="str">
        <f>IFERROR(DATE(CalendarYear,H$7,H22)," ")</f>
        <v xml:space="preserve"> </v>
      </c>
    </row>
    <row r="7" spans="2:61" ht="21.75" customHeight="1" x14ac:dyDescent="0.25">
      <c r="B7" s="30"/>
      <c r="C7" s="30"/>
      <c r="D7" s="30"/>
      <c r="E7" s="30"/>
      <c r="F7" s="31"/>
      <c r="G7" s="31"/>
      <c r="H7" s="58">
        <v>9</v>
      </c>
      <c r="I7" s="59"/>
      <c r="J7" s="60"/>
      <c r="K7" s="58">
        <v>10</v>
      </c>
      <c r="L7" s="59"/>
      <c r="M7" s="60"/>
      <c r="N7" s="58">
        <v>11</v>
      </c>
      <c r="O7" s="59"/>
      <c r="P7" s="60"/>
      <c r="Q7" s="58">
        <v>12</v>
      </c>
      <c r="R7" s="59"/>
      <c r="S7" s="59"/>
      <c r="T7" s="61">
        <v>1</v>
      </c>
      <c r="U7" s="56"/>
      <c r="V7" s="57"/>
      <c r="W7" s="55">
        <v>2</v>
      </c>
      <c r="X7" s="56"/>
      <c r="Y7" s="57"/>
      <c r="Z7" s="55">
        <v>3</v>
      </c>
      <c r="AA7" s="56"/>
      <c r="AB7" s="57"/>
      <c r="AC7" s="55">
        <v>4</v>
      </c>
      <c r="AD7" s="56"/>
      <c r="AE7" s="57"/>
      <c r="AF7" s="55">
        <v>5</v>
      </c>
      <c r="AG7" s="56"/>
      <c r="AH7" s="57"/>
      <c r="AI7" s="55">
        <v>6</v>
      </c>
      <c r="AJ7" s="56"/>
      <c r="AK7" s="56"/>
      <c r="AN7" s="34">
        <v>1</v>
      </c>
      <c r="AO7" s="24">
        <v>42248</v>
      </c>
      <c r="AP7" s="24">
        <v>42285</v>
      </c>
      <c r="AQ7" s="26" t="s">
        <v>17</v>
      </c>
      <c r="AR7" s="16"/>
      <c r="AS7">
        <v>10</v>
      </c>
      <c r="AT7" s="35" t="str">
        <f>IFERROR(DATE(CalendarYear,K$7,K8)," ")</f>
        <v xml:space="preserve"> </v>
      </c>
      <c r="AU7" s="35" t="str">
        <f>IFERROR(DATE(CalendarYear,K$7,K9)," ")</f>
        <v xml:space="preserve"> </v>
      </c>
      <c r="AV7" s="35" t="str">
        <f>IFERROR(DATE(CalendarYear,K$7,K10)," ")</f>
        <v xml:space="preserve"> </v>
      </c>
      <c r="AW7" s="35" t="str">
        <f>IFERROR(DATE(CalendarYear,K$7,K11)," ")</f>
        <v xml:space="preserve"> </v>
      </c>
      <c r="AX7" s="35" t="str">
        <f>IFERROR(DATE(CalendarYear,K$7,K12)," ")</f>
        <v xml:space="preserve"> </v>
      </c>
      <c r="AY7" s="35" t="str">
        <f>IFERROR(DATE(CalendarYear,K$7,K13)," ")</f>
        <v xml:space="preserve"> </v>
      </c>
      <c r="AZ7" s="35" t="str">
        <f>IFERROR(DATE(CalendarYear,K$7,K14)," ")</f>
        <v xml:space="preserve"> </v>
      </c>
      <c r="BA7" s="35" t="str">
        <f>IFERROR(DATE(CalendarYear,K$7,K15)," ")</f>
        <v xml:space="preserve"> </v>
      </c>
      <c r="BB7" s="35" t="str">
        <f>IFERROR(DATE(CalendarYear,K$7,K16)," ")</f>
        <v xml:space="preserve"> </v>
      </c>
      <c r="BC7" s="35" t="str">
        <f>IFERROR(DATE(CalendarYear,K$7,K17)," ")</f>
        <v xml:space="preserve"> </v>
      </c>
      <c r="BD7" s="35" t="str">
        <f>IFERROR(DATE(CalendarYear,K$7,K18)," ")</f>
        <v xml:space="preserve"> </v>
      </c>
      <c r="BE7" s="35" t="str">
        <f>IFERROR(DATE(CalendarYear,K$7,K19)," ")</f>
        <v xml:space="preserve"> </v>
      </c>
      <c r="BF7" s="35" t="str">
        <f>IFERROR(DATE(CalendarYear,K$7,K20)," ")</f>
        <v xml:space="preserve"> </v>
      </c>
      <c r="BG7" s="35" t="str">
        <f>IFERROR(DATE(CalendarYear,K$7,K21)," ")</f>
        <v xml:space="preserve"> </v>
      </c>
      <c r="BH7" s="35" t="str">
        <f>IFERROR(DATE(CalendarYear,K$7,K22)," ")</f>
        <v xml:space="preserve"> </v>
      </c>
    </row>
    <row r="8" spans="2:61" ht="14.25" customHeight="1" x14ac:dyDescent="0.2">
      <c r="B8" s="69" t="s">
        <v>39</v>
      </c>
      <c r="C8" s="70"/>
      <c r="D8" s="70"/>
      <c r="E8" s="70"/>
      <c r="F8" s="70"/>
      <c r="G8" s="71"/>
      <c r="H8" s="47" t="s">
        <v>43</v>
      </c>
      <c r="I8" s="48"/>
      <c r="J8" s="49"/>
      <c r="K8" s="47" t="s">
        <v>43</v>
      </c>
      <c r="L8" s="48"/>
      <c r="M8" s="49"/>
      <c r="N8" s="47" t="s">
        <v>43</v>
      </c>
      <c r="O8" s="48"/>
      <c r="P8" s="49"/>
      <c r="Q8" s="47" t="s">
        <v>43</v>
      </c>
      <c r="R8" s="48"/>
      <c r="S8" s="48"/>
      <c r="T8" s="50" t="s">
        <v>43</v>
      </c>
      <c r="U8" s="48"/>
      <c r="V8" s="49"/>
      <c r="W8" s="47" t="s">
        <v>43</v>
      </c>
      <c r="X8" s="48"/>
      <c r="Y8" s="49"/>
      <c r="Z8" s="47" t="s">
        <v>43</v>
      </c>
      <c r="AA8" s="48"/>
      <c r="AB8" s="49"/>
      <c r="AC8" s="47" t="s">
        <v>43</v>
      </c>
      <c r="AD8" s="48"/>
      <c r="AE8" s="49"/>
      <c r="AF8" s="47" t="s">
        <v>43</v>
      </c>
      <c r="AG8" s="48"/>
      <c r="AH8" s="49"/>
      <c r="AI8" s="47" t="s">
        <v>43</v>
      </c>
      <c r="AJ8" s="48"/>
      <c r="AK8" s="48"/>
      <c r="AN8" s="34">
        <v>2</v>
      </c>
      <c r="AO8" s="24">
        <v>42249</v>
      </c>
      <c r="AP8" s="42">
        <v>42309</v>
      </c>
      <c r="AQ8" s="43" t="s">
        <v>18</v>
      </c>
      <c r="AR8" s="44"/>
      <c r="AS8">
        <v>11</v>
      </c>
      <c r="AT8" s="35" t="str">
        <f>IFERROR(DATE(CalendarYear,N$7,N8)," ")</f>
        <v xml:space="preserve"> </v>
      </c>
      <c r="AU8" s="35" t="str">
        <f>IFERROR(DATE(CalendarYear,N$7,N9)," ")</f>
        <v xml:space="preserve"> </v>
      </c>
      <c r="AV8" s="35" t="str">
        <f>IFERROR(DATE(CalendarYear,N$7,N10)," ")</f>
        <v xml:space="preserve"> </v>
      </c>
      <c r="AW8" s="35" t="str">
        <f>IFERROR(DATE(CalendarYear,N$7,N11)," ")</f>
        <v xml:space="preserve"> </v>
      </c>
      <c r="AX8" s="35" t="str">
        <f>IFERROR(DATE(CalendarYear,N$7,N12)," ")</f>
        <v xml:space="preserve"> </v>
      </c>
      <c r="AY8" s="35" t="str">
        <f>IFERROR(DATE(CalendarYear,N$7,N13)," ")</f>
        <v xml:space="preserve"> </v>
      </c>
      <c r="AZ8" s="35" t="str">
        <f>IFERROR(DATE(CalendarYear,N$7,N14)," ")</f>
        <v xml:space="preserve"> </v>
      </c>
      <c r="BA8" s="35" t="str">
        <f>IFERROR(DATE(CalendarYear,N$7,N15)," ")</f>
        <v xml:space="preserve"> </v>
      </c>
      <c r="BB8" s="35" t="str">
        <f>IFERROR(DATE(CalendarYear,N$7,N16)," ")</f>
        <v xml:space="preserve"> </v>
      </c>
      <c r="BC8" s="35" t="str">
        <f>IFERROR(DATE(CalendarYear,N$7,N17)," ")</f>
        <v xml:space="preserve"> </v>
      </c>
      <c r="BD8" s="35" t="str">
        <f>IFERROR(DATE(CalendarYear,N$7,N18)," ")</f>
        <v xml:space="preserve"> </v>
      </c>
      <c r="BE8" s="35" t="str">
        <f>IFERROR(DATE(CalendarYear,N$7,N19)," ")</f>
        <v xml:space="preserve"> </v>
      </c>
      <c r="BF8" s="35" t="str">
        <f>IFERROR(DATE(CalendarYear,N$7,N20)," ")</f>
        <v xml:space="preserve"> </v>
      </c>
      <c r="BG8" s="35" t="str">
        <f>IFERROR(DATE(CalendarYear,N$7,N21)," ")</f>
        <v xml:space="preserve"> </v>
      </c>
      <c r="BH8" s="35" t="str">
        <f>IFERROR(DATE(CalendarYear,N$7,N22)," ")</f>
        <v xml:space="preserve"> </v>
      </c>
    </row>
    <row r="9" spans="2:61" ht="14.25" customHeight="1" x14ac:dyDescent="0.2">
      <c r="B9" s="66" t="s">
        <v>33</v>
      </c>
      <c r="C9" s="67"/>
      <c r="D9" s="67"/>
      <c r="E9" s="67"/>
      <c r="F9" s="67"/>
      <c r="G9" s="68"/>
      <c r="H9" s="51" t="s">
        <v>43</v>
      </c>
      <c r="I9" s="52"/>
      <c r="J9" s="53"/>
      <c r="K9" s="51" t="s">
        <v>43</v>
      </c>
      <c r="L9" s="52"/>
      <c r="M9" s="53"/>
      <c r="N9" s="51" t="s">
        <v>43</v>
      </c>
      <c r="O9" s="52"/>
      <c r="P9" s="53"/>
      <c r="Q9" s="51" t="s">
        <v>43</v>
      </c>
      <c r="R9" s="52"/>
      <c r="S9" s="52"/>
      <c r="T9" s="54" t="s">
        <v>43</v>
      </c>
      <c r="U9" s="52"/>
      <c r="V9" s="53"/>
      <c r="W9" s="51" t="s">
        <v>43</v>
      </c>
      <c r="X9" s="52"/>
      <c r="Y9" s="53"/>
      <c r="Z9" s="51" t="s">
        <v>43</v>
      </c>
      <c r="AA9" s="52"/>
      <c r="AB9" s="53"/>
      <c r="AC9" s="51" t="s">
        <v>43</v>
      </c>
      <c r="AD9" s="52"/>
      <c r="AE9" s="53"/>
      <c r="AF9" s="51" t="s">
        <v>43</v>
      </c>
      <c r="AG9" s="52"/>
      <c r="AH9" s="53"/>
      <c r="AI9" s="51" t="s">
        <v>43</v>
      </c>
      <c r="AJ9" s="52"/>
      <c r="AK9" s="53"/>
      <c r="AN9" s="34">
        <v>3</v>
      </c>
      <c r="AO9" s="24">
        <v>42250</v>
      </c>
      <c r="AP9" s="24">
        <v>42363</v>
      </c>
      <c r="AQ9" s="26" t="s">
        <v>19</v>
      </c>
      <c r="AR9" s="16"/>
      <c r="AS9">
        <v>12</v>
      </c>
      <c r="AT9" s="35"/>
      <c r="AU9" s="35" t="str">
        <f>IFERROR(DATE(CalendarYear,Q$7,Q9)," ")</f>
        <v xml:space="preserve"> </v>
      </c>
      <c r="AV9" s="35" t="str">
        <f>IFERROR(DATE(CalendarYear,Q$7,Q10)," ")</f>
        <v xml:space="preserve"> </v>
      </c>
      <c r="AW9" s="35" t="str">
        <f>IFERROR(DATE(CalendarYear,Q$7,Q11)," ")</f>
        <v xml:space="preserve"> </v>
      </c>
      <c r="AX9" s="35" t="str">
        <f>IFERROR(DATE(CalendarYear,Q$7,Q12)," ")</f>
        <v xml:space="preserve"> </v>
      </c>
      <c r="AY9" s="35" t="str">
        <f>IFERROR(DATE(CalendarYear,Q$7,Q13)," ")</f>
        <v xml:space="preserve"> </v>
      </c>
      <c r="AZ9" s="35" t="str">
        <f>IFERROR(DATE(CalendarYear,Q$7,Q14)," ")</f>
        <v xml:space="preserve"> </v>
      </c>
      <c r="BA9" s="35" t="str">
        <f>IFERROR(DATE(CalendarYear,Q$7,Q15)," ")</f>
        <v xml:space="preserve"> </v>
      </c>
      <c r="BB9" s="35" t="str">
        <f>IFERROR(DATE(CalendarYear,Q$7,Q16)," ")</f>
        <v xml:space="preserve"> </v>
      </c>
      <c r="BC9" s="35" t="str">
        <f>IFERROR(DATE(CalendarYear,Q$7,Q17)," ")</f>
        <v xml:space="preserve"> </v>
      </c>
      <c r="BD9" s="35" t="str">
        <f>IFERROR(DATE(CalendarYear,Q$7,Q18)," ")</f>
        <v xml:space="preserve"> </v>
      </c>
      <c r="BE9" s="35" t="str">
        <f>IFERROR(DATE(CalendarYear,Q$7,Q19)," ")</f>
        <v xml:space="preserve"> </v>
      </c>
      <c r="BF9" s="35" t="str">
        <f>IFERROR(DATE(CalendarYear,Q$7,Q20)," ")</f>
        <v xml:space="preserve"> </v>
      </c>
      <c r="BG9" s="35" t="str">
        <f>IFERROR(DATE(CalendarYear,Q$7,Q21)," ")</f>
        <v xml:space="preserve"> </v>
      </c>
      <c r="BH9" s="35" t="str">
        <f>IFERROR(DATE(CalendarYear,Q$7,Q22)," ")</f>
        <v xml:space="preserve"> </v>
      </c>
    </row>
    <row r="10" spans="2:61" ht="14.25" customHeight="1" x14ac:dyDescent="0.2">
      <c r="B10" s="69" t="s">
        <v>34</v>
      </c>
      <c r="C10" s="70"/>
      <c r="D10" s="70"/>
      <c r="E10" s="70"/>
      <c r="F10" s="70"/>
      <c r="G10" s="71"/>
      <c r="H10" s="47" t="s">
        <v>43</v>
      </c>
      <c r="I10" s="48"/>
      <c r="J10" s="49"/>
      <c r="K10" s="47" t="s">
        <v>43</v>
      </c>
      <c r="L10" s="48"/>
      <c r="M10" s="49"/>
      <c r="N10" s="47" t="s">
        <v>43</v>
      </c>
      <c r="O10" s="48"/>
      <c r="P10" s="49"/>
      <c r="Q10" s="47" t="s">
        <v>43</v>
      </c>
      <c r="R10" s="48"/>
      <c r="S10" s="65"/>
      <c r="T10" s="50" t="s">
        <v>43</v>
      </c>
      <c r="U10" s="48"/>
      <c r="V10" s="49"/>
      <c r="W10" s="47" t="s">
        <v>43</v>
      </c>
      <c r="X10" s="48"/>
      <c r="Y10" s="49"/>
      <c r="Z10" s="47" t="s">
        <v>43</v>
      </c>
      <c r="AA10" s="48"/>
      <c r="AB10" s="49"/>
      <c r="AC10" s="47" t="s">
        <v>43</v>
      </c>
      <c r="AD10" s="48"/>
      <c r="AE10" s="49"/>
      <c r="AF10" s="47" t="s">
        <v>43</v>
      </c>
      <c r="AG10" s="48"/>
      <c r="AH10" s="49"/>
      <c r="AI10" s="47" t="s">
        <v>43</v>
      </c>
      <c r="AJ10" s="48"/>
      <c r="AK10" s="48"/>
      <c r="AN10" s="34">
        <v>4</v>
      </c>
      <c r="AO10" s="24">
        <v>42251</v>
      </c>
      <c r="AP10" s="42">
        <v>42730</v>
      </c>
      <c r="AQ10" s="43" t="s">
        <v>20</v>
      </c>
      <c r="AR10" s="44"/>
      <c r="AS10">
        <v>1</v>
      </c>
      <c r="AT10" s="35" t="str">
        <f>IFERROR(DATE(CalendarYear+1,T$7,T8)," ")</f>
        <v xml:space="preserve"> </v>
      </c>
      <c r="AU10" s="35" t="str">
        <f>IFERROR(DATE(CalendarYear+1,T$7,T9)," ")</f>
        <v xml:space="preserve"> </v>
      </c>
      <c r="AV10" s="35" t="str">
        <f>IFERROR(DATE(CalendarYear+1,T$7,T10)," ")</f>
        <v xml:space="preserve"> </v>
      </c>
      <c r="AW10" s="35" t="str">
        <f>IFERROR(DATE(CalendarYear+1,T$7,T11)," ")</f>
        <v xml:space="preserve"> </v>
      </c>
      <c r="AX10" s="35" t="str">
        <f>IFERROR(DATE(CalendarYear+1,T$7,T12)," ")</f>
        <v xml:space="preserve"> </v>
      </c>
      <c r="AY10" s="35" t="str">
        <f>IFERROR(DATE(CalendarYear+1,T$7,T13)," ")</f>
        <v xml:space="preserve"> </v>
      </c>
      <c r="AZ10" s="35" t="str">
        <f>IFERROR(DATE(CalendarYear+1,T$7,T14)," ")</f>
        <v xml:space="preserve"> </v>
      </c>
      <c r="BA10" s="35" t="str">
        <f>IFERROR(DATE(CalendarYear+1,T$7,T15)," ")</f>
        <v xml:space="preserve"> </v>
      </c>
      <c r="BB10" s="35" t="str">
        <f>IFERROR(DATE(CalendarYear+1,T$7,T16)," ")</f>
        <v xml:space="preserve"> </v>
      </c>
      <c r="BC10" s="35" t="str">
        <f>IFERROR(DATE(CalendarYear+1,T$7,T17)," ")</f>
        <v xml:space="preserve"> </v>
      </c>
      <c r="BD10" s="35" t="str">
        <f>IFERROR(DATE(CalendarYear+1,T$7,T18)," ")</f>
        <v xml:space="preserve"> </v>
      </c>
      <c r="BE10" s="35" t="str">
        <f>IFERROR(DATE(CalendarYear+1,T$7,T19)," ")</f>
        <v xml:space="preserve"> </v>
      </c>
      <c r="BF10" s="35" t="str">
        <f>IFERROR(DATE(CalendarYear+1,T$7,T20)," ")</f>
        <v xml:space="preserve"> </v>
      </c>
      <c r="BG10" s="35" t="str">
        <f>IFERROR(DATE(CalendarYear+1,T$7,T21)," ")</f>
        <v xml:space="preserve"> </v>
      </c>
      <c r="BH10" s="35" t="str">
        <f>IFERROR(DATE(CalendarYear+1,T$7,T22)," ")</f>
        <v xml:space="preserve"> </v>
      </c>
    </row>
    <row r="11" spans="2:61" ht="14.25" customHeight="1" x14ac:dyDescent="0.2">
      <c r="B11" s="66" t="s">
        <v>35</v>
      </c>
      <c r="C11" s="67"/>
      <c r="D11" s="67"/>
      <c r="E11" s="67"/>
      <c r="F11" s="67"/>
      <c r="G11" s="68"/>
      <c r="H11" s="51" t="s">
        <v>43</v>
      </c>
      <c r="I11" s="52"/>
      <c r="J11" s="53"/>
      <c r="K11" s="51" t="s">
        <v>43</v>
      </c>
      <c r="L11" s="52"/>
      <c r="M11" s="53"/>
      <c r="N11" s="51" t="s">
        <v>43</v>
      </c>
      <c r="O11" s="52"/>
      <c r="P11" s="53"/>
      <c r="Q11" s="51" t="s">
        <v>43</v>
      </c>
      <c r="R11" s="52"/>
      <c r="S11" s="52"/>
      <c r="T11" s="54" t="s">
        <v>43</v>
      </c>
      <c r="U11" s="52"/>
      <c r="V11" s="53"/>
      <c r="W11" s="51" t="s">
        <v>43</v>
      </c>
      <c r="X11" s="52"/>
      <c r="Y11" s="53"/>
      <c r="Z11" s="51" t="s">
        <v>43</v>
      </c>
      <c r="AA11" s="52"/>
      <c r="AB11" s="53"/>
      <c r="AC11" s="51" t="s">
        <v>43</v>
      </c>
      <c r="AD11" s="52"/>
      <c r="AE11" s="53"/>
      <c r="AF11" s="51" t="s">
        <v>43</v>
      </c>
      <c r="AG11" s="52"/>
      <c r="AH11" s="53"/>
      <c r="AI11" s="51" t="s">
        <v>43</v>
      </c>
      <c r="AJ11" s="52"/>
      <c r="AK11" s="52"/>
      <c r="AN11" s="34">
        <v>5</v>
      </c>
      <c r="AO11" s="24">
        <v>42252</v>
      </c>
      <c r="AP11" s="24">
        <v>42370</v>
      </c>
      <c r="AQ11" s="26" t="s">
        <v>21</v>
      </c>
      <c r="AR11" s="16"/>
      <c r="AS11">
        <v>2</v>
      </c>
      <c r="AT11" s="35" t="str">
        <f>IFERROR(DATE(CalendarYear+1,W$7,W8)," ")</f>
        <v xml:space="preserve"> </v>
      </c>
      <c r="AU11" s="35" t="str">
        <f>IFERROR(DATE(CalendarYear+1,W$7,W9)," ")</f>
        <v xml:space="preserve"> </v>
      </c>
      <c r="AV11" s="35" t="str">
        <f>IFERROR(DATE(CalendarYear+1,W$7,W10)," ")</f>
        <v xml:space="preserve"> </v>
      </c>
      <c r="AW11" s="35" t="str">
        <f>IFERROR(DATE(CalendarYear+1,W$7,W11)," ")</f>
        <v xml:space="preserve"> </v>
      </c>
      <c r="AX11" s="35" t="str">
        <f>IFERROR(DATE(CalendarYear+1,W$7,W12)," ")</f>
        <v xml:space="preserve"> </v>
      </c>
      <c r="AY11" s="35" t="str">
        <f>IFERROR(DATE(CalendarYear+1,W$7,W13)," ")</f>
        <v xml:space="preserve"> </v>
      </c>
      <c r="AZ11" s="35" t="str">
        <f>IFERROR(DATE(CalendarYear+1,W$7,W14)," ")</f>
        <v xml:space="preserve"> </v>
      </c>
      <c r="BA11" s="35" t="str">
        <f>IFERROR(DATE(CalendarYear+1,W$7,W15)," ")</f>
        <v xml:space="preserve"> </v>
      </c>
      <c r="BB11" s="35" t="str">
        <f>IFERROR(DATE(CalendarYear+1,W$7,W16)," ")</f>
        <v xml:space="preserve"> </v>
      </c>
      <c r="BC11" s="35" t="str">
        <f>IFERROR(DATE(CalendarYear+1,W$7,W17)," ")</f>
        <v xml:space="preserve"> </v>
      </c>
      <c r="BD11" s="35" t="str">
        <f>IFERROR(DATE(CalendarYear+1,W$7,W18)," ")</f>
        <v xml:space="preserve"> </v>
      </c>
      <c r="BE11" s="35" t="str">
        <f>IFERROR(DATE(CalendarYear+1,W$7,W19)," ")</f>
        <v xml:space="preserve"> </v>
      </c>
      <c r="BF11" s="35" t="str">
        <f>IFERROR(DATE(CalendarYear+1,W$7,W20)," ")</f>
        <v xml:space="preserve"> </v>
      </c>
      <c r="BG11" s="35" t="str">
        <f>IFERROR(DATE(CalendarYear+1,W$7,W21)," ")</f>
        <v xml:space="preserve"> </v>
      </c>
      <c r="BH11" s="35" t="str">
        <f>IFERROR(DATE(CalendarYear+1,W$7,W22)," ")</f>
        <v xml:space="preserve"> </v>
      </c>
      <c r="BI11" s="14"/>
    </row>
    <row r="12" spans="2:61" ht="14.25" customHeight="1" x14ac:dyDescent="0.2">
      <c r="B12" s="69" t="s">
        <v>36</v>
      </c>
      <c r="C12" s="70"/>
      <c r="D12" s="70"/>
      <c r="E12" s="70"/>
      <c r="F12" s="70"/>
      <c r="G12" s="71"/>
      <c r="H12" s="47" t="s">
        <v>43</v>
      </c>
      <c r="I12" s="48"/>
      <c r="J12" s="49"/>
      <c r="K12" s="47" t="s">
        <v>43</v>
      </c>
      <c r="L12" s="48"/>
      <c r="M12" s="49"/>
      <c r="N12" s="47" t="s">
        <v>43</v>
      </c>
      <c r="O12" s="48"/>
      <c r="P12" s="49"/>
      <c r="Q12" s="47" t="s">
        <v>43</v>
      </c>
      <c r="R12" s="48"/>
      <c r="S12" s="48"/>
      <c r="T12" s="50" t="s">
        <v>43</v>
      </c>
      <c r="U12" s="48"/>
      <c r="V12" s="49"/>
      <c r="W12" s="47" t="s">
        <v>43</v>
      </c>
      <c r="X12" s="48"/>
      <c r="Y12" s="49"/>
      <c r="Z12" s="47" t="s">
        <v>43</v>
      </c>
      <c r="AA12" s="48"/>
      <c r="AB12" s="49"/>
      <c r="AC12" s="47" t="s">
        <v>43</v>
      </c>
      <c r="AD12" s="48"/>
      <c r="AE12" s="49"/>
      <c r="AF12" s="47" t="s">
        <v>43</v>
      </c>
      <c r="AG12" s="48"/>
      <c r="AH12" s="49"/>
      <c r="AI12" s="47" t="s">
        <v>43</v>
      </c>
      <c r="AJ12" s="48"/>
      <c r="AK12" s="48"/>
      <c r="AN12" s="34">
        <v>6</v>
      </c>
      <c r="AO12" s="24">
        <v>42253</v>
      </c>
      <c r="AP12" s="42">
        <v>42375</v>
      </c>
      <c r="AQ12" s="43" t="s">
        <v>22</v>
      </c>
      <c r="AR12" s="44"/>
      <c r="AS12">
        <v>3</v>
      </c>
      <c r="AT12" s="35" t="str">
        <f>IFERROR(DATE(CalendarYear+1,Z$7,Z8)," ")</f>
        <v xml:space="preserve"> </v>
      </c>
      <c r="AU12" s="35" t="str">
        <f>IFERROR(DATE(CalendarYear+1,Z$7,Z9)," ")</f>
        <v xml:space="preserve"> </v>
      </c>
      <c r="AV12" s="35" t="str">
        <f>IFERROR(DATE(CalendarYear+1,Z$7,Z10)," ")</f>
        <v xml:space="preserve"> </v>
      </c>
      <c r="AW12" s="35" t="str">
        <f>IFERROR(DATE(CalendarYear+1,Z$7,Z11)," ")</f>
        <v xml:space="preserve"> </v>
      </c>
      <c r="AX12" s="35" t="str">
        <f>IFERROR(DATE(CalendarYear+1,Z$7,Z12)," ")</f>
        <v xml:space="preserve"> </v>
      </c>
      <c r="AY12" s="35" t="str">
        <f>IFERROR(DATE(CalendarYear+1,Z$7,Z13)," ")</f>
        <v xml:space="preserve"> </v>
      </c>
      <c r="AZ12" s="35" t="str">
        <f>IFERROR(DATE(CalendarYear+1,Z$7,Z14)," ")</f>
        <v xml:space="preserve"> </v>
      </c>
      <c r="BA12" s="35" t="str">
        <f>IFERROR(DATE(CalendarYear+1,Z$7,Z15)," ")</f>
        <v xml:space="preserve"> </v>
      </c>
      <c r="BB12" s="35" t="str">
        <f>IFERROR(DATE(CalendarYear+1,Z$7,Z16)," ")</f>
        <v xml:space="preserve"> </v>
      </c>
      <c r="BC12" s="35" t="str">
        <f>IFERROR(DATE(CalendarYear+1,Z$7,Z17)," ")</f>
        <v xml:space="preserve"> </v>
      </c>
      <c r="BD12" s="35" t="str">
        <f>IFERROR(DATE(CalendarYear+1,Z$7,Z18)," ")</f>
        <v xml:space="preserve"> </v>
      </c>
      <c r="BE12" s="35" t="str">
        <f>IFERROR(DATE(CalendarYear+1,Z$7,Z19)," ")</f>
        <v xml:space="preserve"> </v>
      </c>
      <c r="BF12" s="35" t="str">
        <f>IFERROR(DATE(CalendarYear+1,Z$7,Z20)," ")</f>
        <v xml:space="preserve"> </v>
      </c>
      <c r="BG12" s="35" t="str">
        <f>IFERROR(DATE(CalendarYear+1,Z$7,Z21)," ")</f>
        <v xml:space="preserve"> </v>
      </c>
      <c r="BH12" s="35" t="str">
        <f>IFERROR(DATE(CalendarYear+1,Z$7,Z22)," ")</f>
        <v xml:space="preserve"> </v>
      </c>
      <c r="BI12" s="14"/>
    </row>
    <row r="13" spans="2:61" ht="14.25" customHeight="1" x14ac:dyDescent="0.2">
      <c r="B13" s="66" t="s">
        <v>8</v>
      </c>
      <c r="C13" s="67"/>
      <c r="D13" s="67"/>
      <c r="E13" s="67"/>
      <c r="F13" s="67"/>
      <c r="G13" s="68"/>
      <c r="H13" s="51" t="s">
        <v>43</v>
      </c>
      <c r="I13" s="52"/>
      <c r="J13" s="53"/>
      <c r="K13" s="51" t="s">
        <v>43</v>
      </c>
      <c r="L13" s="52"/>
      <c r="M13" s="53"/>
      <c r="N13" s="51" t="s">
        <v>43</v>
      </c>
      <c r="O13" s="52"/>
      <c r="P13" s="53"/>
      <c r="Q13" s="51" t="s">
        <v>43</v>
      </c>
      <c r="R13" s="52"/>
      <c r="S13" s="52"/>
      <c r="T13" s="54" t="s">
        <v>43</v>
      </c>
      <c r="U13" s="52"/>
      <c r="V13" s="53"/>
      <c r="W13" s="51" t="s">
        <v>43</v>
      </c>
      <c r="X13" s="52"/>
      <c r="Y13" s="53"/>
      <c r="Z13" s="51" t="s">
        <v>43</v>
      </c>
      <c r="AA13" s="52"/>
      <c r="AB13" s="53"/>
      <c r="AC13" s="51" t="s">
        <v>43</v>
      </c>
      <c r="AD13" s="52"/>
      <c r="AE13" s="53"/>
      <c r="AF13" s="51" t="s">
        <v>43</v>
      </c>
      <c r="AG13" s="52"/>
      <c r="AH13" s="53"/>
      <c r="AI13" s="51" t="s">
        <v>43</v>
      </c>
      <c r="AJ13" s="52"/>
      <c r="AK13" s="52"/>
      <c r="AN13" s="34">
        <v>7</v>
      </c>
      <c r="AO13" s="24"/>
      <c r="AP13" s="24">
        <v>42456</v>
      </c>
      <c r="AQ13" s="26" t="s">
        <v>23</v>
      </c>
      <c r="AR13" s="16"/>
      <c r="AS13">
        <v>4</v>
      </c>
      <c r="AT13" s="35" t="str">
        <f>IFERROR(DATE(CalendarYear+1,AC$7,AC8)," ")</f>
        <v xml:space="preserve"> </v>
      </c>
      <c r="AU13" s="35" t="str">
        <f>IFERROR(DATE(CalendarYear+1,AC$7,AC9)," ")</f>
        <v xml:space="preserve"> </v>
      </c>
      <c r="AV13" s="35" t="str">
        <f>IFERROR(DATE(CalendarYear+1,AC$7,AC10)," ")</f>
        <v xml:space="preserve"> </v>
      </c>
      <c r="AW13" s="35" t="str">
        <f>IFERROR(DATE(CalendarYear+1,AC$7,AC11)," ")</f>
        <v xml:space="preserve"> </v>
      </c>
      <c r="AX13" s="35" t="str">
        <f>IFERROR(DATE(CalendarYear+1,AC$7,AC12)," ")</f>
        <v xml:space="preserve"> </v>
      </c>
      <c r="AY13" s="35" t="str">
        <f>IFERROR(DATE(CalendarYear+1,AC$7,AC13)," ")</f>
        <v xml:space="preserve"> </v>
      </c>
      <c r="AZ13" s="35" t="str">
        <f>IFERROR(DATE(CalendarYear+1,AC$7,AC14)," ")</f>
        <v xml:space="preserve"> </v>
      </c>
      <c r="BA13" s="35" t="str">
        <f>IFERROR(DATE(CalendarYear+1,AC$7,AC15)," ")</f>
        <v xml:space="preserve"> </v>
      </c>
      <c r="BB13" s="35" t="str">
        <f>IFERROR(DATE(CalendarYear+1,AC$7,AC16)," ")</f>
        <v xml:space="preserve"> </v>
      </c>
      <c r="BC13" s="35" t="str">
        <f>IFERROR(DATE(CalendarYear+1,AC$7,AC17)," ")</f>
        <v xml:space="preserve"> </v>
      </c>
      <c r="BD13" s="35" t="str">
        <f>IFERROR(DATE(CalendarYear+1,AC$7,AC18)," ")</f>
        <v xml:space="preserve"> </v>
      </c>
      <c r="BE13" s="35" t="str">
        <f>IFERROR(DATE(CalendarYear+1,AC$7,AC19)," ")</f>
        <v xml:space="preserve"> </v>
      </c>
      <c r="BF13" s="35" t="str">
        <f>IFERROR(DATE(CalendarYear+1,AC$7,AC20)," ")</f>
        <v xml:space="preserve"> </v>
      </c>
      <c r="BG13" s="35" t="str">
        <f>IFERROR(DATE(CalendarYear+1,AC$7,AC21)," ")</f>
        <v xml:space="preserve"> </v>
      </c>
      <c r="BH13" s="35" t="str">
        <f>IFERROR(DATE(CalendarYear+1,AC$7,AC22)," ")</f>
        <v xml:space="preserve"> </v>
      </c>
      <c r="BI13" s="32"/>
    </row>
    <row r="14" spans="2:61" ht="14.25" customHeight="1" x14ac:dyDescent="0.2">
      <c r="B14" s="69" t="s">
        <v>37</v>
      </c>
      <c r="C14" s="70"/>
      <c r="D14" s="70"/>
      <c r="E14" s="70"/>
      <c r="F14" s="70"/>
      <c r="G14" s="71"/>
      <c r="H14" s="47" t="s">
        <v>43</v>
      </c>
      <c r="I14" s="48"/>
      <c r="J14" s="49"/>
      <c r="K14" s="47" t="s">
        <v>43</v>
      </c>
      <c r="L14" s="48"/>
      <c r="M14" s="49"/>
      <c r="N14" s="47" t="s">
        <v>43</v>
      </c>
      <c r="O14" s="48"/>
      <c r="P14" s="49"/>
      <c r="Q14" s="47" t="s">
        <v>43</v>
      </c>
      <c r="R14" s="48"/>
      <c r="S14" s="48"/>
      <c r="T14" s="50" t="s">
        <v>43</v>
      </c>
      <c r="U14" s="48"/>
      <c r="V14" s="49"/>
      <c r="W14" s="47" t="s">
        <v>43</v>
      </c>
      <c r="X14" s="48"/>
      <c r="Y14" s="49"/>
      <c r="Z14" s="47" t="s">
        <v>43</v>
      </c>
      <c r="AA14" s="48"/>
      <c r="AB14" s="49"/>
      <c r="AC14" s="47" t="s">
        <v>43</v>
      </c>
      <c r="AD14" s="48"/>
      <c r="AE14" s="49"/>
      <c r="AF14" s="47" t="s">
        <v>43</v>
      </c>
      <c r="AG14" s="48"/>
      <c r="AH14" s="49"/>
      <c r="AI14" s="47" t="s">
        <v>43</v>
      </c>
      <c r="AJ14" s="48"/>
      <c r="AK14" s="48"/>
      <c r="AN14" s="34">
        <v>8</v>
      </c>
      <c r="AO14" s="42"/>
      <c r="AP14" s="24">
        <v>42457</v>
      </c>
      <c r="AQ14" s="43" t="s">
        <v>24</v>
      </c>
      <c r="AR14" s="44"/>
      <c r="AS14">
        <v>5</v>
      </c>
      <c r="AT14" s="35" t="str">
        <f>IFERROR(DATE(CalendarYear+1,AF$7,AF8)," ")</f>
        <v xml:space="preserve"> </v>
      </c>
      <c r="AU14" s="35" t="str">
        <f>IFERROR(DATE(CalendarYear+1,AF$7,AF9)," ")</f>
        <v xml:space="preserve"> </v>
      </c>
      <c r="AV14" s="35" t="str">
        <f>IFERROR(DATE(CalendarYear+1,AF$7,AF10)," ")</f>
        <v xml:space="preserve"> </v>
      </c>
      <c r="AW14" s="35" t="str">
        <f>IFERROR(DATE(CalendarYear+1,AF$7,AF11)," ")</f>
        <v xml:space="preserve"> </v>
      </c>
      <c r="AX14" s="35" t="str">
        <f>IFERROR(DATE(CalendarYear+1,AF$7,AF12)," ")</f>
        <v xml:space="preserve"> </v>
      </c>
      <c r="AY14" s="35" t="str">
        <f>IFERROR(DATE(CalendarYear+1,AF$7,AF13)," ")</f>
        <v xml:space="preserve"> </v>
      </c>
      <c r="AZ14" s="35" t="str">
        <f>IFERROR(DATE(CalendarYear+1,AF$7,AF14)," ")</f>
        <v xml:space="preserve"> </v>
      </c>
      <c r="BA14" s="35" t="str">
        <f>IFERROR(DATE(CalendarYear+1,AF$7,AF15)," ")</f>
        <v xml:space="preserve"> </v>
      </c>
      <c r="BB14" s="35" t="str">
        <f>IFERROR(DATE(CalendarYear+1,AF$7,AF16)," ")</f>
        <v xml:space="preserve"> </v>
      </c>
      <c r="BC14" s="35" t="str">
        <f>IFERROR(DATE(CalendarYear+1,AF$7,AF17)," ")</f>
        <v xml:space="preserve"> </v>
      </c>
      <c r="BD14" s="35" t="str">
        <f>IFERROR(DATE(CalendarYear+1,AF$7,AF18)," ")</f>
        <v xml:space="preserve"> </v>
      </c>
      <c r="BE14" s="35" t="str">
        <f>IFERROR(DATE(CalendarYear+1,AF$7,AF19)," ")</f>
        <v xml:space="preserve"> </v>
      </c>
      <c r="BF14" s="35" t="str">
        <f>IFERROR(DATE(CalendarYear+1,AF$7,AF20)," ")</f>
        <v xml:space="preserve"> </v>
      </c>
      <c r="BG14" s="35" t="str">
        <f>IFERROR(DATE(CalendarYear+1,AF$7,AF21)," ")</f>
        <v xml:space="preserve"> </v>
      </c>
      <c r="BH14" s="35" t="str">
        <f>IFERROR(DATE(CalendarYear+1,AF$7,AF22)," ")</f>
        <v xml:space="preserve"> </v>
      </c>
      <c r="BI14" s="14"/>
    </row>
    <row r="15" spans="2:61" ht="14.25" customHeight="1" x14ac:dyDescent="0.2">
      <c r="B15" s="66" t="s">
        <v>9</v>
      </c>
      <c r="C15" s="67"/>
      <c r="D15" s="67"/>
      <c r="E15" s="67"/>
      <c r="F15" s="67"/>
      <c r="G15" s="68"/>
      <c r="H15" s="51" t="s">
        <v>43</v>
      </c>
      <c r="I15" s="52"/>
      <c r="J15" s="53"/>
      <c r="K15" s="51" t="s">
        <v>43</v>
      </c>
      <c r="L15" s="52"/>
      <c r="M15" s="53"/>
      <c r="N15" s="51" t="s">
        <v>43</v>
      </c>
      <c r="O15" s="52"/>
      <c r="P15" s="53"/>
      <c r="Q15" s="51" t="s">
        <v>43</v>
      </c>
      <c r="R15" s="52"/>
      <c r="S15" s="52"/>
      <c r="T15" s="54" t="s">
        <v>43</v>
      </c>
      <c r="U15" s="52"/>
      <c r="V15" s="53"/>
      <c r="W15" s="51" t="s">
        <v>43</v>
      </c>
      <c r="X15" s="52"/>
      <c r="Y15" s="53"/>
      <c r="Z15" s="51" t="s">
        <v>43</v>
      </c>
      <c r="AA15" s="52"/>
      <c r="AB15" s="53"/>
      <c r="AC15" s="51" t="s">
        <v>43</v>
      </c>
      <c r="AD15" s="52"/>
      <c r="AE15" s="53"/>
      <c r="AF15" s="51" t="s">
        <v>43</v>
      </c>
      <c r="AG15" s="52"/>
      <c r="AH15" s="53"/>
      <c r="AI15" s="51" t="s">
        <v>43</v>
      </c>
      <c r="AJ15" s="52"/>
      <c r="AK15" s="52"/>
      <c r="AN15" s="34">
        <v>9</v>
      </c>
      <c r="AO15" s="24">
        <v>42362</v>
      </c>
      <c r="AP15" s="24">
        <v>42491</v>
      </c>
      <c r="AQ15" s="26" t="s">
        <v>25</v>
      </c>
      <c r="AR15" s="16"/>
      <c r="AS15">
        <v>6</v>
      </c>
      <c r="AT15" s="35" t="str">
        <f>IFERROR(DATE(CalendarYear+1,AI$7,AI8)," ")</f>
        <v xml:space="preserve"> </v>
      </c>
      <c r="AU15" s="35" t="str">
        <f>IFERROR(DATE(CalendarYear+1,AI$7,AI9)," ")</f>
        <v xml:space="preserve"> </v>
      </c>
      <c r="AV15" s="35" t="str">
        <f>IFERROR(DATE(CalendarYear+1,AI$7,AI10)," ")</f>
        <v xml:space="preserve"> </v>
      </c>
      <c r="AW15" s="35" t="str">
        <f>IFERROR(DATE(CalendarYear+1,AI$7,AI11)," ")</f>
        <v xml:space="preserve"> </v>
      </c>
      <c r="AX15" s="35" t="str">
        <f>IFERROR(DATE(CalendarYear+1,AI$7,AI12)," ")</f>
        <v xml:space="preserve"> </v>
      </c>
      <c r="AY15" s="35" t="str">
        <f>IFERROR(DATE(CalendarYear+1,AI$7,AI13)," ")</f>
        <v xml:space="preserve"> </v>
      </c>
      <c r="AZ15" s="35" t="str">
        <f>IFERROR(DATE(CalendarYear+1,AI$7,AI14)," ")</f>
        <v xml:space="preserve"> </v>
      </c>
      <c r="BA15" s="35" t="str">
        <f>IFERROR(DATE(CalendarYear+1,AI$7,AI15)," ")</f>
        <v xml:space="preserve"> </v>
      </c>
      <c r="BB15" s="35" t="str">
        <f>IFERROR(DATE(CalendarYear+1,AI$7,AI16)," ")</f>
        <v xml:space="preserve"> </v>
      </c>
      <c r="BC15" s="35" t="str">
        <f>IFERROR(DATE(CalendarYear+1,AI$7,AI17)," ")</f>
        <v xml:space="preserve"> </v>
      </c>
      <c r="BD15" s="35" t="str">
        <f>IFERROR(DATE(CalendarYear+1,AI$7,AI18)," ")</f>
        <v xml:space="preserve"> </v>
      </c>
      <c r="BE15" s="35" t="str">
        <f>IFERROR(DATE(CalendarYear+1,AI$7,AI19)," ")</f>
        <v xml:space="preserve"> </v>
      </c>
      <c r="BF15" s="35" t="str">
        <f>IFERROR(DATE(CalendarYear+1,AI$7,AI20)," ")</f>
        <v xml:space="preserve"> </v>
      </c>
      <c r="BG15" s="35" t="str">
        <f>IFERROR(DATE(CalendarYear+1,AI$7,AI21)," ")</f>
        <v xml:space="preserve"> </v>
      </c>
      <c r="BH15" s="35" t="str">
        <f>IFERROR(DATE(CalendarYear+1,AI$7,AI22)," ")</f>
        <v xml:space="preserve"> </v>
      </c>
      <c r="BI15" s="14"/>
    </row>
    <row r="16" spans="2:61" ht="14.25" customHeight="1" x14ac:dyDescent="0.2">
      <c r="B16" s="69" t="s">
        <v>10</v>
      </c>
      <c r="C16" s="70"/>
      <c r="D16" s="70"/>
      <c r="E16" s="70"/>
      <c r="F16" s="70"/>
      <c r="G16" s="71"/>
      <c r="H16" s="47" t="s">
        <v>43</v>
      </c>
      <c r="I16" s="48"/>
      <c r="J16" s="49"/>
      <c r="K16" s="47" t="s">
        <v>43</v>
      </c>
      <c r="L16" s="48"/>
      <c r="M16" s="49"/>
      <c r="N16" s="47" t="s">
        <v>43</v>
      </c>
      <c r="O16" s="48"/>
      <c r="P16" s="49"/>
      <c r="Q16" s="47" t="s">
        <v>43</v>
      </c>
      <c r="R16" s="48"/>
      <c r="S16" s="48"/>
      <c r="T16" s="50" t="s">
        <v>43</v>
      </c>
      <c r="U16" s="48"/>
      <c r="V16" s="49"/>
      <c r="W16" s="47" t="s">
        <v>43</v>
      </c>
      <c r="X16" s="48"/>
      <c r="Y16" s="49"/>
      <c r="Z16" s="47" t="s">
        <v>43</v>
      </c>
      <c r="AA16" s="48"/>
      <c r="AB16" s="49"/>
      <c r="AC16" s="47" t="s">
        <v>43</v>
      </c>
      <c r="AD16" s="48"/>
      <c r="AE16" s="49"/>
      <c r="AF16" s="47" t="s">
        <v>43</v>
      </c>
      <c r="AG16" s="48"/>
      <c r="AH16" s="49"/>
      <c r="AI16" s="47" t="s">
        <v>43</v>
      </c>
      <c r="AJ16" s="48"/>
      <c r="AK16" s="48"/>
      <c r="AN16" s="34">
        <v>10</v>
      </c>
      <c r="AO16" s="24">
        <v>42363</v>
      </c>
      <c r="AP16" s="42">
        <v>42516</v>
      </c>
      <c r="AQ16" s="43" t="s">
        <v>26</v>
      </c>
      <c r="AR16" s="44"/>
      <c r="AS16" s="14"/>
      <c r="AT16" s="14"/>
      <c r="AU16" s="32"/>
      <c r="AV16" s="32"/>
      <c r="AW16" s="14"/>
      <c r="AX16" s="32"/>
      <c r="AY16" s="32"/>
      <c r="AZ16" s="14"/>
      <c r="BA16" s="32"/>
      <c r="BB16" s="32"/>
      <c r="BC16" s="14"/>
      <c r="BI16" s="14"/>
    </row>
    <row r="17" spans="2:55" ht="14.25" customHeight="1" x14ac:dyDescent="0.2">
      <c r="B17" s="66" t="s">
        <v>11</v>
      </c>
      <c r="C17" s="67"/>
      <c r="D17" s="67"/>
      <c r="E17" s="67"/>
      <c r="F17" s="67"/>
      <c r="G17" s="68"/>
      <c r="H17" s="51" t="s">
        <v>43</v>
      </c>
      <c r="I17" s="52"/>
      <c r="J17" s="53"/>
      <c r="K17" s="51" t="s">
        <v>43</v>
      </c>
      <c r="L17" s="52"/>
      <c r="M17" s="53"/>
      <c r="N17" s="51" t="s">
        <v>43</v>
      </c>
      <c r="O17" s="52"/>
      <c r="P17" s="53"/>
      <c r="Q17" s="51" t="s">
        <v>43</v>
      </c>
      <c r="R17" s="52"/>
      <c r="S17" s="52"/>
      <c r="T17" s="54" t="s">
        <v>43</v>
      </c>
      <c r="U17" s="52"/>
      <c r="V17" s="53"/>
      <c r="W17" s="51" t="s">
        <v>43</v>
      </c>
      <c r="X17" s="52"/>
      <c r="Y17" s="53"/>
      <c r="Z17" s="51" t="s">
        <v>43</v>
      </c>
      <c r="AA17" s="52"/>
      <c r="AB17" s="53"/>
      <c r="AC17" s="51" t="s">
        <v>43</v>
      </c>
      <c r="AD17" s="52"/>
      <c r="AE17" s="53"/>
      <c r="AF17" s="51" t="s">
        <v>43</v>
      </c>
      <c r="AG17" s="52"/>
      <c r="AH17" s="53"/>
      <c r="AI17" s="51" t="s">
        <v>43</v>
      </c>
      <c r="AJ17" s="52"/>
      <c r="AK17" s="52"/>
      <c r="AN17" s="34">
        <v>11</v>
      </c>
      <c r="AO17" s="24">
        <v>42364</v>
      </c>
      <c r="AP17" s="24"/>
      <c r="AQ17" s="26" t="s">
        <v>27</v>
      </c>
      <c r="AR17" s="16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</row>
    <row r="18" spans="2:55" ht="14.25" customHeight="1" x14ac:dyDescent="0.2">
      <c r="B18" s="69" t="s">
        <v>32</v>
      </c>
      <c r="C18" s="70"/>
      <c r="D18" s="70"/>
      <c r="E18" s="70"/>
      <c r="F18" s="70"/>
      <c r="G18" s="71"/>
      <c r="H18" s="47" t="s">
        <v>43</v>
      </c>
      <c r="I18" s="48"/>
      <c r="J18" s="49"/>
      <c r="K18" s="47" t="s">
        <v>43</v>
      </c>
      <c r="L18" s="48"/>
      <c r="M18" s="49"/>
      <c r="N18" s="47" t="s">
        <v>43</v>
      </c>
      <c r="O18" s="48"/>
      <c r="P18" s="49"/>
      <c r="Q18" s="47" t="s">
        <v>43</v>
      </c>
      <c r="R18" s="48"/>
      <c r="S18" s="48"/>
      <c r="T18" s="50" t="s">
        <v>43</v>
      </c>
      <c r="U18" s="48"/>
      <c r="V18" s="49"/>
      <c r="W18" s="47" t="s">
        <v>43</v>
      </c>
      <c r="X18" s="48"/>
      <c r="Y18" s="49"/>
      <c r="Z18" s="47" t="s">
        <v>43</v>
      </c>
      <c r="AA18" s="48"/>
      <c r="AB18" s="49"/>
      <c r="AC18" s="47" t="s">
        <v>43</v>
      </c>
      <c r="AD18" s="48"/>
      <c r="AE18" s="49"/>
      <c r="AF18" s="47" t="s">
        <v>43</v>
      </c>
      <c r="AG18" s="48"/>
      <c r="AH18" s="49"/>
      <c r="AI18" s="47" t="s">
        <v>43</v>
      </c>
      <c r="AJ18" s="48"/>
      <c r="AK18" s="48"/>
      <c r="AN18" s="34">
        <v>12</v>
      </c>
      <c r="AO18" s="24">
        <v>42365</v>
      </c>
      <c r="AP18" s="42"/>
      <c r="AQ18" s="43" t="s">
        <v>28</v>
      </c>
      <c r="AR18" s="44"/>
    </row>
    <row r="19" spans="2:55" ht="14.25" customHeight="1" x14ac:dyDescent="0.2">
      <c r="B19" s="66" t="s">
        <v>38</v>
      </c>
      <c r="C19" s="67"/>
      <c r="D19" s="67"/>
      <c r="E19" s="67"/>
      <c r="F19" s="67"/>
      <c r="G19" s="68"/>
      <c r="H19" s="51" t="s">
        <v>43</v>
      </c>
      <c r="I19" s="52"/>
      <c r="J19" s="53"/>
      <c r="K19" s="51" t="s">
        <v>43</v>
      </c>
      <c r="L19" s="52"/>
      <c r="M19" s="53"/>
      <c r="N19" s="51" t="s">
        <v>43</v>
      </c>
      <c r="O19" s="52"/>
      <c r="P19" s="53"/>
      <c r="Q19" s="51" t="s">
        <v>43</v>
      </c>
      <c r="R19" s="52"/>
      <c r="S19" s="52"/>
      <c r="T19" s="54" t="s">
        <v>43</v>
      </c>
      <c r="U19" s="52"/>
      <c r="V19" s="53"/>
      <c r="W19" s="51" t="s">
        <v>43</v>
      </c>
      <c r="X19" s="52"/>
      <c r="Y19" s="53"/>
      <c r="Z19" s="51" t="s">
        <v>43</v>
      </c>
      <c r="AA19" s="52"/>
      <c r="AB19" s="53"/>
      <c r="AC19" s="51" t="s">
        <v>43</v>
      </c>
      <c r="AD19" s="52"/>
      <c r="AE19" s="53"/>
      <c r="AF19" s="51" t="s">
        <v>43</v>
      </c>
      <c r="AG19" s="52"/>
      <c r="AH19" s="53"/>
      <c r="AI19" s="51" t="s">
        <v>43</v>
      </c>
      <c r="AJ19" s="52"/>
      <c r="AK19" s="52"/>
      <c r="AN19" s="34">
        <v>13</v>
      </c>
      <c r="AO19" s="24">
        <v>42366</v>
      </c>
      <c r="AP19" s="24"/>
      <c r="AQ19" s="26" t="s">
        <v>29</v>
      </c>
      <c r="AR19" s="16"/>
    </row>
    <row r="20" spans="2:55" ht="14.25" customHeight="1" x14ac:dyDescent="0.2">
      <c r="B20" s="69" t="s">
        <v>40</v>
      </c>
      <c r="C20" s="70"/>
      <c r="D20" s="70"/>
      <c r="E20" s="70"/>
      <c r="F20" s="70"/>
      <c r="G20" s="71"/>
      <c r="H20" s="47" t="s">
        <v>43</v>
      </c>
      <c r="I20" s="48"/>
      <c r="J20" s="49"/>
      <c r="K20" s="47" t="s">
        <v>43</v>
      </c>
      <c r="L20" s="48"/>
      <c r="M20" s="49"/>
      <c r="N20" s="47" t="s">
        <v>43</v>
      </c>
      <c r="O20" s="48"/>
      <c r="P20" s="49"/>
      <c r="Q20" s="47" t="s">
        <v>43</v>
      </c>
      <c r="R20" s="48"/>
      <c r="S20" s="48"/>
      <c r="T20" s="50" t="s">
        <v>43</v>
      </c>
      <c r="U20" s="48"/>
      <c r="V20" s="49"/>
      <c r="W20" s="47" t="s">
        <v>43</v>
      </c>
      <c r="X20" s="48"/>
      <c r="Y20" s="49"/>
      <c r="Z20" s="47" t="s">
        <v>43</v>
      </c>
      <c r="AA20" s="48"/>
      <c r="AB20" s="49"/>
      <c r="AC20" s="47" t="s">
        <v>43</v>
      </c>
      <c r="AD20" s="48"/>
      <c r="AE20" s="49"/>
      <c r="AF20" s="47" t="s">
        <v>43</v>
      </c>
      <c r="AG20" s="48"/>
      <c r="AH20" s="49"/>
      <c r="AI20" s="47" t="s">
        <v>43</v>
      </c>
      <c r="AJ20" s="48"/>
      <c r="AK20" s="48"/>
      <c r="AN20" s="34">
        <v>14</v>
      </c>
      <c r="AO20" s="24">
        <v>42367</v>
      </c>
      <c r="AP20" s="42"/>
      <c r="AQ20" s="43" t="s">
        <v>30</v>
      </c>
      <c r="AR20" s="44"/>
    </row>
    <row r="21" spans="2:55" ht="14.25" customHeight="1" x14ac:dyDescent="0.2">
      <c r="B21" s="66" t="s">
        <v>42</v>
      </c>
      <c r="C21" s="67"/>
      <c r="D21" s="67"/>
      <c r="E21" s="67"/>
      <c r="F21" s="67"/>
      <c r="G21" s="68"/>
      <c r="H21" s="51" t="s">
        <v>43</v>
      </c>
      <c r="I21" s="52"/>
      <c r="J21" s="53"/>
      <c r="K21" s="51" t="s">
        <v>43</v>
      </c>
      <c r="L21" s="52"/>
      <c r="M21" s="53"/>
      <c r="N21" s="51" t="s">
        <v>43</v>
      </c>
      <c r="O21" s="52"/>
      <c r="P21" s="53"/>
      <c r="Q21" s="51" t="s">
        <v>43</v>
      </c>
      <c r="R21" s="52"/>
      <c r="S21" s="52"/>
      <c r="T21" s="54" t="s">
        <v>43</v>
      </c>
      <c r="U21" s="52"/>
      <c r="V21" s="53"/>
      <c r="W21" s="51" t="s">
        <v>43</v>
      </c>
      <c r="X21" s="52"/>
      <c r="Y21" s="53"/>
      <c r="Z21" s="51" t="s">
        <v>43</v>
      </c>
      <c r="AA21" s="52"/>
      <c r="AB21" s="53"/>
      <c r="AC21" s="51" t="s">
        <v>43</v>
      </c>
      <c r="AD21" s="52"/>
      <c r="AE21" s="53"/>
      <c r="AF21" s="51" t="s">
        <v>43</v>
      </c>
      <c r="AG21" s="52"/>
      <c r="AH21" s="53"/>
      <c r="AI21" s="51" t="s">
        <v>43</v>
      </c>
      <c r="AJ21" s="52"/>
      <c r="AK21" s="52"/>
      <c r="AN21" s="34">
        <v>15</v>
      </c>
      <c r="AO21" s="24">
        <v>42368</v>
      </c>
      <c r="AP21" s="24"/>
      <c r="AQ21" s="26"/>
      <c r="AR21" s="16"/>
    </row>
    <row r="22" spans="2:55" ht="14.25" x14ac:dyDescent="0.2">
      <c r="B22" s="69"/>
      <c r="C22" s="70"/>
      <c r="D22" s="70"/>
      <c r="E22" s="70"/>
      <c r="F22" s="70"/>
      <c r="G22" s="71"/>
      <c r="H22" s="47" t="s">
        <v>43</v>
      </c>
      <c r="I22" s="48"/>
      <c r="J22" s="49"/>
      <c r="K22" s="47" t="s">
        <v>43</v>
      </c>
      <c r="L22" s="48"/>
      <c r="M22" s="49"/>
      <c r="N22" s="47" t="s">
        <v>43</v>
      </c>
      <c r="O22" s="48"/>
      <c r="P22" s="49"/>
      <c r="Q22" s="47" t="s">
        <v>43</v>
      </c>
      <c r="R22" s="48"/>
      <c r="S22" s="48"/>
      <c r="T22" s="50" t="s">
        <v>43</v>
      </c>
      <c r="U22" s="48"/>
      <c r="V22" s="49"/>
      <c r="W22" s="47" t="s">
        <v>43</v>
      </c>
      <c r="X22" s="48"/>
      <c r="Y22" s="49"/>
      <c r="Z22" s="47" t="s">
        <v>43</v>
      </c>
      <c r="AA22" s="48"/>
      <c r="AB22" s="49"/>
      <c r="AC22" s="47" t="s">
        <v>43</v>
      </c>
      <c r="AD22" s="48"/>
      <c r="AE22" s="49"/>
      <c r="AF22" s="47" t="s">
        <v>43</v>
      </c>
      <c r="AG22" s="48"/>
      <c r="AH22" s="49"/>
      <c r="AI22" s="47" t="s">
        <v>43</v>
      </c>
      <c r="AJ22" s="48"/>
      <c r="AK22" s="48"/>
      <c r="AN22" s="34">
        <v>16</v>
      </c>
      <c r="AO22" s="24">
        <v>42369</v>
      </c>
      <c r="AP22" s="42"/>
      <c r="AQ22" s="43"/>
      <c r="AR22" s="44"/>
    </row>
    <row r="23" spans="2:55" ht="33.75" customHeight="1" x14ac:dyDescent="0.2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N23" s="34">
        <v>17</v>
      </c>
      <c r="AO23" s="24">
        <v>42370</v>
      </c>
      <c r="AP23" s="24"/>
      <c r="AQ23" s="26"/>
      <c r="AR23" s="16"/>
    </row>
    <row r="24" spans="2:55" s="14" customFormat="1" ht="33.75" customHeight="1" x14ac:dyDescent="0.2">
      <c r="AN24" s="34">
        <v>18</v>
      </c>
      <c r="AO24" s="24">
        <v>42371</v>
      </c>
      <c r="AP24" s="42"/>
      <c r="AQ24" s="43"/>
      <c r="AR24" s="44"/>
      <c r="AT24"/>
      <c r="AU24"/>
      <c r="AV24"/>
      <c r="AW24"/>
      <c r="AX24"/>
      <c r="AY24"/>
      <c r="AZ24"/>
      <c r="BA24"/>
      <c r="BB24"/>
      <c r="BC24"/>
    </row>
    <row r="25" spans="2:55" ht="14.25" x14ac:dyDescent="0.2">
      <c r="B25" s="63">
        <f>CalendarYear</f>
        <v>2015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N25" s="34">
        <v>19</v>
      </c>
      <c r="AO25" s="24">
        <v>42372</v>
      </c>
      <c r="AP25" s="24"/>
      <c r="AQ25" s="26"/>
      <c r="AR25" s="16"/>
    </row>
    <row r="26" spans="2:55" ht="15.75" x14ac:dyDescent="0.25">
      <c r="B26" s="64">
        <f>DATE(CalendarYear,9,1)</f>
        <v>42248</v>
      </c>
      <c r="C26" s="64"/>
      <c r="D26" s="64"/>
      <c r="E26" s="64"/>
      <c r="F26" s="64"/>
      <c r="G26" s="64"/>
      <c r="H26" s="64"/>
      <c r="I26" s="9"/>
      <c r="J26" s="5"/>
      <c r="K26" s="64">
        <f>DATE(CalendarYear,10,1)</f>
        <v>42278</v>
      </c>
      <c r="L26" s="64"/>
      <c r="M26" s="64"/>
      <c r="N26" s="64"/>
      <c r="O26" s="64"/>
      <c r="P26" s="64"/>
      <c r="Q26" s="64"/>
      <c r="R26" s="9"/>
      <c r="T26" s="64">
        <f>DATE(CalendarYear,11,1)</f>
        <v>42309</v>
      </c>
      <c r="U26" s="64"/>
      <c r="V26" s="64"/>
      <c r="W26" s="64"/>
      <c r="X26" s="64"/>
      <c r="Y26" s="64"/>
      <c r="Z26" s="64"/>
      <c r="AA26" s="9"/>
      <c r="AB26" s="5"/>
      <c r="AC26" s="64">
        <f>DATE(CalendarYear,12,1)</f>
        <v>42339</v>
      </c>
      <c r="AD26" s="64"/>
      <c r="AE26" s="64"/>
      <c r="AF26" s="64"/>
      <c r="AG26" s="64"/>
      <c r="AH26" s="64"/>
      <c r="AI26" s="64"/>
      <c r="AN26" s="34">
        <v>20</v>
      </c>
      <c r="AO26" s="24">
        <v>42373</v>
      </c>
      <c r="AP26" s="42"/>
      <c r="AQ26" s="43"/>
      <c r="AR26" s="44"/>
    </row>
    <row r="27" spans="2:55" ht="15" x14ac:dyDescent="0.25">
      <c r="B27" s="8" t="s">
        <v>1</v>
      </c>
      <c r="C27" s="8" t="s">
        <v>2</v>
      </c>
      <c r="D27" s="8" t="s">
        <v>0</v>
      </c>
      <c r="E27" s="8" t="s">
        <v>3</v>
      </c>
      <c r="F27" s="8" t="s">
        <v>1</v>
      </c>
      <c r="G27" s="8" t="s">
        <v>0</v>
      </c>
      <c r="H27" s="8" t="s">
        <v>4</v>
      </c>
      <c r="I27" s="10"/>
      <c r="J27" s="5"/>
      <c r="K27" s="8" t="s">
        <v>1</v>
      </c>
      <c r="L27" s="8" t="s">
        <v>2</v>
      </c>
      <c r="M27" s="8" t="s">
        <v>0</v>
      </c>
      <c r="N27" s="8" t="s">
        <v>3</v>
      </c>
      <c r="O27" s="8" t="s">
        <v>1</v>
      </c>
      <c r="P27" s="8" t="s">
        <v>0</v>
      </c>
      <c r="Q27" s="8" t="s">
        <v>4</v>
      </c>
      <c r="R27" s="10"/>
      <c r="T27" s="8" t="s">
        <v>1</v>
      </c>
      <c r="U27" s="8" t="s">
        <v>2</v>
      </c>
      <c r="V27" s="8" t="s">
        <v>0</v>
      </c>
      <c r="W27" s="8" t="s">
        <v>3</v>
      </c>
      <c r="X27" s="8" t="s">
        <v>1</v>
      </c>
      <c r="Y27" s="8" t="s">
        <v>0</v>
      </c>
      <c r="Z27" s="8" t="s">
        <v>4</v>
      </c>
      <c r="AA27" s="10"/>
      <c r="AB27" s="7"/>
      <c r="AC27" s="8" t="s">
        <v>1</v>
      </c>
      <c r="AD27" s="8" t="s">
        <v>2</v>
      </c>
      <c r="AE27" s="8" t="s">
        <v>0</v>
      </c>
      <c r="AF27" s="8" t="s">
        <v>3</v>
      </c>
      <c r="AG27" s="8" t="s">
        <v>1</v>
      </c>
      <c r="AH27" s="8" t="s">
        <v>0</v>
      </c>
      <c r="AI27" s="8" t="s">
        <v>4</v>
      </c>
      <c r="AN27" s="34">
        <v>21</v>
      </c>
      <c r="AO27" s="24">
        <v>42374</v>
      </c>
      <c r="AP27" s="24"/>
      <c r="AQ27" s="26"/>
      <c r="AR27" s="16"/>
      <c r="AT27" s="14"/>
      <c r="AU27" s="14"/>
      <c r="AV27" s="14"/>
      <c r="AW27" s="14"/>
      <c r="AX27" s="14"/>
      <c r="AY27" s="14"/>
      <c r="AZ27" s="14"/>
      <c r="BA27" s="14"/>
      <c r="BB27" s="14"/>
      <c r="BC27" s="14"/>
    </row>
    <row r="28" spans="2:55" ht="14.25" x14ac:dyDescent="0.2">
      <c r="B28" s="3" t="str">
        <f>IF(DAY(SepSun1)=1,"",IF(AND(YEAR(SepSun1+1)=CalendarYear,MONTH(SepSun1+1)=9),SepSun1+1,""))</f>
        <v/>
      </c>
      <c r="C28" s="3">
        <f>IF(DAY(SepSun1)=1,"",IF(AND(YEAR(SepSun1+2)=CalendarYear,MONTH(SepSun1+2)=9),SepSun1+2,""))</f>
        <v>42248</v>
      </c>
      <c r="D28" s="3">
        <f>IF(DAY(SepSun1)=1,"",IF(AND(YEAR(SepSun1+3)=CalendarYear,MONTH(SepSun1+3)=9),SepSun1+3,""))</f>
        <v>42249</v>
      </c>
      <c r="E28" s="3">
        <f>IF(DAY(SepSun1)=1,"",IF(AND(YEAR(SepSun1+4)=CalendarYear,MONTH(SepSun1+4)=9),SepSun1+4,""))</f>
        <v>42250</v>
      </c>
      <c r="F28" s="3">
        <f>IF(DAY(SepSun1)=1,"",IF(AND(YEAR(SepSun1+5)=CalendarYear,MONTH(SepSun1+5)=9),SepSun1+5,""))</f>
        <v>42251</v>
      </c>
      <c r="G28" s="3">
        <f>IF(DAY(SepSun1)=1,"",IF(AND(YEAR(SepSun1+6)=CalendarYear,MONTH(SepSun1+6)=9),SepSun1+6,""))</f>
        <v>42252</v>
      </c>
      <c r="H28" s="3">
        <f>IF(DAY(SepSun1)=1,IF(AND(YEAR(SepSun1)=CalendarYear,MONTH(SepSun1)=9),SepSun1,""),IF(AND(YEAR(SepSun1+7)=CalendarYear,MONTH(SepSun1+7)=9),SepSun1+7,""))</f>
        <v>42253</v>
      </c>
      <c r="I28" s="11"/>
      <c r="J28" s="5"/>
      <c r="K28" s="3" t="str">
        <f>IF(DAY(OctSun1)=1,"",IF(AND(YEAR(OctSun1+1)=CalendarYear,MONTH(OctSun1+1)=10),OctSun1+1,""))</f>
        <v/>
      </c>
      <c r="L28" s="3" t="str">
        <f>IF(DAY(OctSun1)=1,"",IF(AND(YEAR(OctSun1+2)=CalendarYear,MONTH(OctSun1+2)=10),OctSun1+2,""))</f>
        <v/>
      </c>
      <c r="M28" s="3" t="str">
        <f>IF(DAY(OctSun1)=1,"",IF(AND(YEAR(OctSun1+3)=CalendarYear,MONTH(OctSun1+3)=10),OctSun1+3,""))</f>
        <v/>
      </c>
      <c r="N28" s="3">
        <f>IF(DAY(OctSun1)=1,"",IF(AND(YEAR(OctSun1+4)=CalendarYear,MONTH(OctSun1+4)=10),OctSun1+4,""))</f>
        <v>42278</v>
      </c>
      <c r="O28" s="3">
        <f>IF(DAY(OctSun1)=1,"",IF(AND(YEAR(OctSun1+5)=CalendarYear,MONTH(OctSun1+5)=10),OctSun1+5,""))</f>
        <v>42279</v>
      </c>
      <c r="P28" s="3">
        <f>IF(DAY(OctSun1)=1,"",IF(AND(YEAR(OctSun1+6)=CalendarYear,MONTH(OctSun1+6)=10),OctSun1+6,""))</f>
        <v>42280</v>
      </c>
      <c r="Q28" s="3">
        <f>IF(DAY(OctSun1)=1,IF(AND(YEAR(OctSun1)=CalendarYear,MONTH(OctSun1)=10),OctSun1,""),IF(AND(YEAR(OctSun1+7)=CalendarYear,MONTH(OctSun1+7)=10),OctSun1+7,""))</f>
        <v>42281</v>
      </c>
      <c r="R28" s="11"/>
      <c r="T28" s="3" t="str">
        <f>IF(DAY(NovSun1)=1,"",IF(AND(YEAR(NovSun1+1)=CalendarYear,MONTH(NovSun1+1)=11),NovSun1+1,""))</f>
        <v/>
      </c>
      <c r="U28" s="3" t="str">
        <f>IF(DAY(NovSun1)=1,"",IF(AND(YEAR(NovSun1+2)=CalendarYear,MONTH(NovSun1+2)=11),NovSun1+2,""))</f>
        <v/>
      </c>
      <c r="V28" s="3" t="str">
        <f>IF(DAY(NovSun1)=1,"",IF(AND(YEAR(NovSun1+3)=CalendarYear,MONTH(NovSun1+3)=11),NovSun1+3,""))</f>
        <v/>
      </c>
      <c r="W28" s="3" t="str">
        <f>IF(DAY(NovSun1)=1,"",IF(AND(YEAR(NovSun1+4)=CalendarYear,MONTH(NovSun1+4)=11),NovSun1+4,""))</f>
        <v/>
      </c>
      <c r="X28" s="3" t="str">
        <f>IF(DAY(NovSun1)=1,"",IF(AND(YEAR(NovSun1+5)=CalendarYear,MONTH(NovSun1+5)=11),NovSun1+5,""))</f>
        <v/>
      </c>
      <c r="Y28" s="3" t="str">
        <f>IF(DAY(NovSun1)=1,"",IF(AND(YEAR(NovSun1+6)=CalendarYear,MONTH(NovSun1+6)=11),NovSun1+6,""))</f>
        <v/>
      </c>
      <c r="Z28" s="3">
        <f>IF(DAY(NovSun1)=1,IF(AND(YEAR(NovSun1)=CalendarYear,MONTH(NovSun1)=11),NovSun1,""),IF(AND(YEAR(NovSun1+7)=CalendarYear,MONTH(NovSun1+7)=11),NovSun1+7,""))</f>
        <v>42309</v>
      </c>
      <c r="AA28" s="11"/>
      <c r="AB28" s="5"/>
      <c r="AC28" s="3" t="str">
        <f>IF(DAY(DecSun1)=1,"",IF(AND(YEAR(DecSun1+1)=CalendarYear,MONTH(DecSun1+1)=12),DecSun1+1,""))</f>
        <v/>
      </c>
      <c r="AD28" s="3">
        <f>IF(DAY(DecSun1)=1,"",IF(AND(YEAR(DecSun1+2)=CalendarYear,MONTH(DecSun1+2)=12),DecSun1+2,""))</f>
        <v>42339</v>
      </c>
      <c r="AE28" s="3">
        <f>IF(DAY(DecSun1)=1,"",IF(AND(YEAR(DecSun1+3)=CalendarYear,MONTH(DecSun1+3)=12),DecSun1+3,""))</f>
        <v>42340</v>
      </c>
      <c r="AF28" s="3">
        <f>IF(DAY(DecSun1)=1,"",IF(AND(YEAR(DecSun1+4)=CalendarYear,MONTH(DecSun1+4)=12),DecSun1+4,""))</f>
        <v>42341</v>
      </c>
      <c r="AG28" s="3">
        <f>IF(DAY(DecSun1)=1,"",IF(AND(YEAR(DecSun1+5)=CalendarYear,MONTH(DecSun1+5)=12),DecSun1+5,""))</f>
        <v>42342</v>
      </c>
      <c r="AH28" s="3">
        <f>IF(DAY(DecSun1)=1,"",IF(AND(YEAR(DecSun1+6)=CalendarYear,MONTH(DecSun1+6)=12),DecSun1+6,""))</f>
        <v>42343</v>
      </c>
      <c r="AI28" s="3">
        <f>IF(DAY(DecSun1)=1,IF(AND(YEAR(DecSun1)=CalendarYear,MONTH(DecSun1)=12),DecSun1,""),IF(AND(YEAR(DecSun1+7)=CalendarYear,MONTH(DecSun1+7)=12),DecSun1+7,""))</f>
        <v>42344</v>
      </c>
      <c r="AN28" s="34">
        <v>22</v>
      </c>
      <c r="AO28" s="24">
        <v>42375</v>
      </c>
      <c r="AP28" s="42"/>
      <c r="AQ28" s="43"/>
      <c r="AR28" s="44"/>
    </row>
    <row r="29" spans="2:55" ht="14.25" x14ac:dyDescent="0.2">
      <c r="B29" s="3">
        <f>IF(DAY(SepSun1)=1,IF(AND(YEAR(SepSun1+1)=CalendarYear,MONTH(SepSun1+1)=9),SepSun1+1,""),IF(AND(YEAR(SepSun1+8)=CalendarYear,MONTH(SepSun1+8)=9),SepSun1+8,""))</f>
        <v>42254</v>
      </c>
      <c r="C29" s="3">
        <f>IF(DAY(SepSun1)=1,IF(AND(YEAR(SepSun1+2)=CalendarYear,MONTH(SepSun1+2)=9),SepSun1+2,""),IF(AND(YEAR(SepSun1+9)=CalendarYear,MONTH(SepSun1+9)=9),SepSun1+9,""))</f>
        <v>42255</v>
      </c>
      <c r="D29" s="3">
        <f>IF(DAY(SepSun1)=1,IF(AND(YEAR(SepSun1+3)=CalendarYear,MONTH(SepSun1+3)=9),SepSun1+3,""),IF(AND(YEAR(SepSun1+10)=CalendarYear,MONTH(SepSun1+10)=9),SepSun1+10,""))</f>
        <v>42256</v>
      </c>
      <c r="E29" s="3">
        <f>IF(DAY(SepSun1)=1,IF(AND(YEAR(SepSun1+4)=CalendarYear,MONTH(SepSun1+4)=9),SepSun1+4,""),IF(AND(YEAR(SepSun1+11)=CalendarYear,MONTH(SepSun1+11)=9),SepSun1+11,""))</f>
        <v>42257</v>
      </c>
      <c r="F29" s="3">
        <f>IF(DAY(SepSun1)=1,IF(AND(YEAR(SepSun1+5)=CalendarYear,MONTH(SepSun1+5)=9),SepSun1+5,""),IF(AND(YEAR(SepSun1+12)=CalendarYear,MONTH(SepSun1+12)=9),SepSun1+12,""))</f>
        <v>42258</v>
      </c>
      <c r="G29" s="3">
        <f>IF(DAY(SepSun1)=1,IF(AND(YEAR(SepSun1+6)=CalendarYear,MONTH(SepSun1+6)=9),SepSun1+6,""),IF(AND(YEAR(SepSun1+13)=CalendarYear,MONTH(SepSun1+13)=9),SepSun1+13,""))</f>
        <v>42259</v>
      </c>
      <c r="H29" s="3">
        <f>IF(DAY(SepSun1)=1,IF(AND(YEAR(SepSun1+7)=CalendarYear,MONTH(SepSun1+7)=9),SepSun1+7,""),IF(AND(YEAR(SepSun1+14)=CalendarYear,MONTH(SepSun1+14)=9),SepSun1+14,""))</f>
        <v>42260</v>
      </c>
      <c r="I29" s="11"/>
      <c r="J29" s="5"/>
      <c r="K29" s="3">
        <f>IF(DAY(OctSun1)=1,IF(AND(YEAR(OctSun1+1)=CalendarYear,MONTH(OctSun1+1)=10),OctSun1+1,""),IF(AND(YEAR(OctSun1+8)=CalendarYear,MONTH(OctSun1+8)=10),OctSun1+8,""))</f>
        <v>42282</v>
      </c>
      <c r="L29" s="3">
        <f>IF(DAY(OctSun1)=1,IF(AND(YEAR(OctSun1+2)=CalendarYear,MONTH(OctSun1+2)=10),OctSun1+2,""),IF(AND(YEAR(OctSun1+9)=CalendarYear,MONTH(OctSun1+9)=10),OctSun1+9,""))</f>
        <v>42283</v>
      </c>
      <c r="M29" s="3">
        <f>IF(DAY(OctSun1)=1,IF(AND(YEAR(OctSun1+3)=CalendarYear,MONTH(OctSun1+3)=10),OctSun1+3,""),IF(AND(YEAR(OctSun1+10)=CalendarYear,MONTH(OctSun1+10)=10),OctSun1+10,""))</f>
        <v>42284</v>
      </c>
      <c r="N29" s="3">
        <f>IF(DAY(OctSun1)=1,IF(AND(YEAR(OctSun1+4)=CalendarYear,MONTH(OctSun1+4)=10),OctSun1+4,""),IF(AND(YEAR(OctSun1+11)=CalendarYear,MONTH(OctSun1+11)=10),OctSun1+11,""))</f>
        <v>42285</v>
      </c>
      <c r="O29" s="3">
        <f>IF(DAY(OctSun1)=1,IF(AND(YEAR(OctSun1+5)=CalendarYear,MONTH(OctSun1+5)=10),OctSun1+5,""),IF(AND(YEAR(OctSun1+12)=CalendarYear,MONTH(OctSun1+12)=10),OctSun1+12,""))</f>
        <v>42286</v>
      </c>
      <c r="P29" s="3">
        <f>IF(DAY(OctSun1)=1,IF(AND(YEAR(OctSun1+6)=CalendarYear,MONTH(OctSun1+6)=10),OctSun1+6,""),IF(AND(YEAR(OctSun1+13)=CalendarYear,MONTH(OctSun1+13)=10),OctSun1+13,""))</f>
        <v>42287</v>
      </c>
      <c r="Q29" s="3">
        <f>IF(DAY(OctSun1)=1,IF(AND(YEAR(OctSun1+7)=CalendarYear,MONTH(OctSun1+7)=10),OctSun1+7,""),IF(AND(YEAR(OctSun1+14)=CalendarYear,MONTH(OctSun1+14)=10),OctSun1+14,""))</f>
        <v>42288</v>
      </c>
      <c r="R29" s="11"/>
      <c r="T29" s="3">
        <f>IF(DAY(NovSun1)=1,IF(AND(YEAR(NovSun1+1)=CalendarYear,MONTH(NovSun1+1)=11),NovSun1+1,""),IF(AND(YEAR(NovSun1+8)=CalendarYear,MONTH(NovSun1+8)=11),NovSun1+8,""))</f>
        <v>42310</v>
      </c>
      <c r="U29" s="3">
        <f>IF(DAY(NovSun1)=1,IF(AND(YEAR(NovSun1+2)=CalendarYear,MONTH(NovSun1+2)=11),NovSun1+2,""),IF(AND(YEAR(NovSun1+9)=CalendarYear,MONTH(NovSun1+9)=11),NovSun1+9,""))</f>
        <v>42311</v>
      </c>
      <c r="V29" s="3">
        <f>IF(DAY(NovSun1)=1,IF(AND(YEAR(NovSun1+3)=CalendarYear,MONTH(NovSun1+3)=11),NovSun1+3,""),IF(AND(YEAR(NovSun1+10)=CalendarYear,MONTH(NovSun1+10)=11),NovSun1+10,""))</f>
        <v>42312</v>
      </c>
      <c r="W29" s="3">
        <f>IF(DAY(NovSun1)=1,IF(AND(YEAR(NovSun1+4)=CalendarYear,MONTH(NovSun1+4)=11),NovSun1+4,""),IF(AND(YEAR(NovSun1+11)=CalendarYear,MONTH(NovSun1+11)=11),NovSun1+11,""))</f>
        <v>42313</v>
      </c>
      <c r="X29" s="3">
        <f>IF(DAY(NovSun1)=1,IF(AND(YEAR(NovSun1+5)=CalendarYear,MONTH(NovSun1+5)=11),NovSun1+5,""),IF(AND(YEAR(NovSun1+12)=CalendarYear,MONTH(NovSun1+12)=11),NovSun1+12,""))</f>
        <v>42314</v>
      </c>
      <c r="Y29" s="3">
        <f>IF(DAY(NovSun1)=1,IF(AND(YEAR(NovSun1+6)=CalendarYear,MONTH(NovSun1+6)=11),NovSun1+6,""),IF(AND(YEAR(NovSun1+13)=CalendarYear,MONTH(NovSun1+13)=11),NovSun1+13,""))</f>
        <v>42315</v>
      </c>
      <c r="Z29" s="3">
        <f>IF(DAY(NovSun1)=1,IF(AND(YEAR(NovSun1+7)=CalendarYear,MONTH(NovSun1+7)=11),NovSun1+7,""),IF(AND(YEAR(NovSun1+14)=CalendarYear,MONTH(NovSun1+14)=11),NovSun1+14,""))</f>
        <v>42316</v>
      </c>
      <c r="AA29" s="11"/>
      <c r="AB29" s="5"/>
      <c r="AC29" s="3">
        <f>IF(DAY(DecSun1)=1,IF(AND(YEAR(DecSun1+1)=CalendarYear,MONTH(DecSun1+1)=12),DecSun1+1,""),IF(AND(YEAR(DecSun1+8)=CalendarYear,MONTH(DecSun1+8)=12),DecSun1+8,""))</f>
        <v>42345</v>
      </c>
      <c r="AD29" s="3">
        <f>IF(DAY(DecSun1)=1,IF(AND(YEAR(DecSun1+2)=CalendarYear,MONTH(DecSun1+2)=12),DecSun1+2,""),IF(AND(YEAR(DecSun1+9)=CalendarYear,MONTH(DecSun1+9)=12),DecSun1+9,""))</f>
        <v>42346</v>
      </c>
      <c r="AE29" s="3">
        <f>IF(DAY(DecSun1)=1,IF(AND(YEAR(DecSun1+3)=CalendarYear,MONTH(DecSun1+3)=12),DecSun1+3,""),IF(AND(YEAR(DecSun1+10)=CalendarYear,MONTH(DecSun1+10)=12),DecSun1+10,""))</f>
        <v>42347</v>
      </c>
      <c r="AF29" s="3">
        <f>IF(DAY(DecSun1)=1,IF(AND(YEAR(DecSun1+4)=CalendarYear,MONTH(DecSun1+4)=12),DecSun1+4,""),IF(AND(YEAR(DecSun1+11)=CalendarYear,MONTH(DecSun1+11)=12),DecSun1+11,""))</f>
        <v>42348</v>
      </c>
      <c r="AG29" s="3">
        <f>IF(DAY(DecSun1)=1,IF(AND(YEAR(DecSun1+5)=CalendarYear,MONTH(DecSun1+5)=12),DecSun1+5,""),IF(AND(YEAR(DecSun1+12)=CalendarYear,MONTH(DecSun1+12)=12),DecSun1+12,""))</f>
        <v>42349</v>
      </c>
      <c r="AH29" s="3">
        <f>IF(DAY(DecSun1)=1,IF(AND(YEAR(DecSun1+6)=CalendarYear,MONTH(DecSun1+6)=12),DecSun1+6,""),IF(AND(YEAR(DecSun1+13)=CalendarYear,MONTH(DecSun1+13)=12),DecSun1+13,""))</f>
        <v>42350</v>
      </c>
      <c r="AI29" s="3">
        <f>IF(DAY(DecSun1)=1,IF(AND(YEAR(DecSun1+7)=CalendarYear,MONTH(DecSun1+7)=12),DecSun1+7,""),IF(AND(YEAR(DecSun1+14)=CalendarYear,MONTH(DecSun1+14)=12),DecSun1+14,""))</f>
        <v>42351</v>
      </c>
      <c r="AN29" s="34">
        <v>23</v>
      </c>
      <c r="AO29" s="24">
        <v>42376</v>
      </c>
      <c r="AP29" s="24"/>
      <c r="AQ29" s="26"/>
      <c r="AR29" s="16"/>
    </row>
    <row r="30" spans="2:55" ht="14.25" x14ac:dyDescent="0.2">
      <c r="B30" s="3">
        <f>IF(DAY(SepSun1)=1,IF(AND(YEAR(SepSun1+8)=CalendarYear,MONTH(SepSun1+8)=9),SepSun1+8,""),IF(AND(YEAR(SepSun1+15)=CalendarYear,MONTH(SepSun1+15)=9),SepSun1+15,""))</f>
        <v>42261</v>
      </c>
      <c r="C30" s="3">
        <f>IF(DAY(SepSun1)=1,IF(AND(YEAR(SepSun1+9)=CalendarYear,MONTH(SepSun1+9)=9),SepSun1+9,""),IF(AND(YEAR(SepSun1+16)=CalendarYear,MONTH(SepSun1+16)=9),SepSun1+16,""))</f>
        <v>42262</v>
      </c>
      <c r="D30" s="3">
        <f>IF(DAY(SepSun1)=1,IF(AND(YEAR(SepSun1+10)=CalendarYear,MONTH(SepSun1+10)=9),SepSun1+10,""),IF(AND(YEAR(SepSun1+17)=CalendarYear,MONTH(SepSun1+17)=9),SepSun1+17,""))</f>
        <v>42263</v>
      </c>
      <c r="E30" s="3">
        <f>IF(DAY(SepSun1)=1,IF(AND(YEAR(SepSun1+11)=CalendarYear,MONTH(SepSun1+11)=9),SepSun1+11,""),IF(AND(YEAR(SepSun1+18)=CalendarYear,MONTH(SepSun1+18)=9),SepSun1+18,""))</f>
        <v>42264</v>
      </c>
      <c r="F30" s="3">
        <f>IF(DAY(SepSun1)=1,IF(AND(YEAR(SepSun1+12)=CalendarYear,MONTH(SepSun1+12)=9),SepSun1+12,""),IF(AND(YEAR(SepSun1+19)=CalendarYear,MONTH(SepSun1+19)=9),SepSun1+19,""))</f>
        <v>42265</v>
      </c>
      <c r="G30" s="3">
        <f>IF(DAY(SepSun1)=1,IF(AND(YEAR(SepSun1+13)=CalendarYear,MONTH(SepSun1+13)=9),SepSun1+13,""),IF(AND(YEAR(SepSun1+20)=CalendarYear,MONTH(SepSun1+20)=9),SepSun1+20,""))</f>
        <v>42266</v>
      </c>
      <c r="H30" s="3">
        <f>IF(DAY(SepSun1)=1,IF(AND(YEAR(SepSun1+14)=CalendarYear,MONTH(SepSun1+14)=9),SepSun1+14,""),IF(AND(YEAR(SepSun1+21)=CalendarYear,MONTH(SepSun1+21)=9),SepSun1+21,""))</f>
        <v>42267</v>
      </c>
      <c r="I30" s="11"/>
      <c r="J30" s="5"/>
      <c r="K30" s="3">
        <f>IF(DAY(OctSun1)=1,IF(AND(YEAR(OctSun1+8)=CalendarYear,MONTH(OctSun1+8)=10),OctSun1+8,""),IF(AND(YEAR(OctSun1+15)=CalendarYear,MONTH(OctSun1+15)=10),OctSun1+15,""))</f>
        <v>42289</v>
      </c>
      <c r="L30" s="3">
        <f>IF(DAY(OctSun1)=1,IF(AND(YEAR(OctSun1+9)=CalendarYear,MONTH(OctSun1+9)=10),OctSun1+9,""),IF(AND(YEAR(OctSun1+16)=CalendarYear,MONTH(OctSun1+16)=10),OctSun1+16,""))</f>
        <v>42290</v>
      </c>
      <c r="M30" s="3">
        <f>IF(DAY(OctSun1)=1,IF(AND(YEAR(OctSun1+10)=CalendarYear,MONTH(OctSun1+10)=10),OctSun1+10,""),IF(AND(YEAR(OctSun1+17)=CalendarYear,MONTH(OctSun1+17)=10),OctSun1+17,""))</f>
        <v>42291</v>
      </c>
      <c r="N30" s="3">
        <f>IF(DAY(OctSun1)=1,IF(AND(YEAR(OctSun1+11)=CalendarYear,MONTH(OctSun1+11)=10),OctSun1+11,""),IF(AND(YEAR(OctSun1+18)=CalendarYear,MONTH(OctSun1+18)=10),OctSun1+18,""))</f>
        <v>42292</v>
      </c>
      <c r="O30" s="3">
        <f>IF(DAY(OctSun1)=1,IF(AND(YEAR(OctSun1+12)=CalendarYear,MONTH(OctSun1+12)=10),OctSun1+12,""),IF(AND(YEAR(OctSun1+19)=CalendarYear,MONTH(OctSun1+19)=10),OctSun1+19,""))</f>
        <v>42293</v>
      </c>
      <c r="P30" s="3">
        <f>IF(DAY(OctSun1)=1,IF(AND(YEAR(OctSun1+13)=CalendarYear,MONTH(OctSun1+13)=10),OctSun1+13,""),IF(AND(YEAR(OctSun1+20)=CalendarYear,MONTH(OctSun1+20)=10),OctSun1+20,""))</f>
        <v>42294</v>
      </c>
      <c r="Q30" s="3">
        <f>IF(DAY(OctSun1)=1,IF(AND(YEAR(OctSun1+14)=CalendarYear,MONTH(OctSun1+14)=10),OctSun1+14,""),IF(AND(YEAR(OctSun1+21)=CalendarYear,MONTH(OctSun1+21)=10),OctSun1+21,""))</f>
        <v>42295</v>
      </c>
      <c r="R30" s="11"/>
      <c r="T30" s="3">
        <f>IF(DAY(NovSun1)=1,IF(AND(YEAR(NovSun1+8)=CalendarYear,MONTH(NovSun1+8)=11),NovSun1+8,""),IF(AND(YEAR(NovSun1+15)=CalendarYear,MONTH(NovSun1+15)=11),NovSun1+15,""))</f>
        <v>42317</v>
      </c>
      <c r="U30" s="3">
        <f>IF(DAY(NovSun1)=1,IF(AND(YEAR(NovSun1+9)=CalendarYear,MONTH(NovSun1+9)=11),NovSun1+9,""),IF(AND(YEAR(NovSun1+16)=CalendarYear,MONTH(NovSun1+16)=11),NovSun1+16,""))</f>
        <v>42318</v>
      </c>
      <c r="V30" s="3">
        <f>IF(DAY(NovSun1)=1,IF(AND(YEAR(NovSun1+10)=CalendarYear,MONTH(NovSun1+10)=11),NovSun1+10,""),IF(AND(YEAR(NovSun1+17)=CalendarYear,MONTH(NovSun1+17)=11),NovSun1+17,""))</f>
        <v>42319</v>
      </c>
      <c r="W30" s="3">
        <f>IF(DAY(NovSun1)=1,IF(AND(YEAR(NovSun1+11)=CalendarYear,MONTH(NovSun1+11)=11),NovSun1+11,""),IF(AND(YEAR(NovSun1+18)=CalendarYear,MONTH(NovSun1+18)=11),NovSun1+18,""))</f>
        <v>42320</v>
      </c>
      <c r="X30" s="3">
        <f>IF(DAY(NovSun1)=1,IF(AND(YEAR(NovSun1+12)=CalendarYear,MONTH(NovSun1+12)=11),NovSun1+12,""),IF(AND(YEAR(NovSun1+19)=CalendarYear,MONTH(NovSun1+19)=11),NovSun1+19,""))</f>
        <v>42321</v>
      </c>
      <c r="Y30" s="3">
        <f>IF(DAY(NovSun1)=1,IF(AND(YEAR(NovSun1+13)=CalendarYear,MONTH(NovSun1+13)=11),NovSun1+13,""),IF(AND(YEAR(NovSun1+20)=CalendarYear,MONTH(NovSun1+20)=11),NovSun1+20,""))</f>
        <v>42322</v>
      </c>
      <c r="Z30" s="3">
        <f>IF(DAY(NovSun1)=1,IF(AND(YEAR(NovSun1+14)=CalendarYear,MONTH(NovSun1+14)=11),NovSun1+14,""),IF(AND(YEAR(NovSun1+21)=CalendarYear,MONTH(NovSun1+21)=11),NovSun1+21,""))</f>
        <v>42323</v>
      </c>
      <c r="AA30" s="11"/>
      <c r="AB30" s="5"/>
      <c r="AC30" s="3">
        <f>IF(DAY(DecSun1)=1,IF(AND(YEAR(DecSun1+8)=CalendarYear,MONTH(DecSun1+8)=12),DecSun1+8,""),IF(AND(YEAR(DecSun1+15)=CalendarYear,MONTH(DecSun1+15)=12),DecSun1+15,""))</f>
        <v>42352</v>
      </c>
      <c r="AD30" s="3">
        <f>IF(DAY(DecSun1)=1,IF(AND(YEAR(DecSun1+9)=CalendarYear,MONTH(DecSun1+9)=12),DecSun1+9,""),IF(AND(YEAR(DecSun1+16)=CalendarYear,MONTH(DecSun1+16)=12),DecSun1+16,""))</f>
        <v>42353</v>
      </c>
      <c r="AE30" s="3">
        <f>IF(DAY(DecSun1)=1,IF(AND(YEAR(DecSun1+10)=CalendarYear,MONTH(DecSun1+10)=12),DecSun1+10,""),IF(AND(YEAR(DecSun1+17)=CalendarYear,MONTH(DecSun1+17)=12),DecSun1+17,""))</f>
        <v>42354</v>
      </c>
      <c r="AF30" s="3">
        <f>IF(DAY(DecSun1)=1,IF(AND(YEAR(DecSun1+11)=CalendarYear,MONTH(DecSun1+11)=12),DecSun1+11,""),IF(AND(YEAR(DecSun1+18)=CalendarYear,MONTH(DecSun1+18)=12),DecSun1+18,""))</f>
        <v>42355</v>
      </c>
      <c r="AG30" s="3">
        <f>IF(DAY(DecSun1)=1,IF(AND(YEAR(DecSun1+12)=CalendarYear,MONTH(DecSun1+12)=12),DecSun1+12,""),IF(AND(YEAR(DecSun1+19)=CalendarYear,MONTH(DecSun1+19)=12),DecSun1+19,""))</f>
        <v>42356</v>
      </c>
      <c r="AH30" s="3">
        <f>IF(DAY(DecSun1)=1,IF(AND(YEAR(DecSun1+13)=CalendarYear,MONTH(DecSun1+13)=12),DecSun1+13,""),IF(AND(YEAR(DecSun1+20)=CalendarYear,MONTH(DecSun1+20)=12),DecSun1+20,""))</f>
        <v>42357</v>
      </c>
      <c r="AI30" s="3">
        <f>IF(DAY(DecSun1)=1,IF(AND(YEAR(DecSun1+14)=CalendarYear,MONTH(DecSun1+14)=12),DecSun1+14,""),IF(AND(YEAR(DecSun1+21)=CalendarYear,MONTH(DecSun1+21)=12),DecSun1+21,""))</f>
        <v>42358</v>
      </c>
      <c r="AN30" s="34">
        <v>24</v>
      </c>
      <c r="AO30" s="24">
        <v>42377</v>
      </c>
      <c r="AP30" s="42"/>
      <c r="AQ30" s="43"/>
      <c r="AR30" s="44"/>
    </row>
    <row r="31" spans="2:55" ht="14.25" x14ac:dyDescent="0.2">
      <c r="B31" s="3">
        <f>IF(DAY(SepSun1)=1,IF(AND(YEAR(SepSun1+15)=CalendarYear,MONTH(SepSun1+15)=9),SepSun1+15,""),IF(AND(YEAR(SepSun1+22)=CalendarYear,MONTH(SepSun1+22)=9),SepSun1+22,""))</f>
        <v>42268</v>
      </c>
      <c r="C31" s="3">
        <f>IF(DAY(SepSun1)=1,IF(AND(YEAR(SepSun1+16)=CalendarYear,MONTH(SepSun1+16)=9),SepSun1+16,""),IF(AND(YEAR(SepSun1+23)=CalendarYear,MONTH(SepSun1+23)=9),SepSun1+23,""))</f>
        <v>42269</v>
      </c>
      <c r="D31" s="3">
        <f>IF(DAY(SepSun1)=1,IF(AND(YEAR(SepSun1+17)=CalendarYear,MONTH(SepSun1+17)=9),SepSun1+17,""),IF(AND(YEAR(SepSun1+24)=CalendarYear,MONTH(SepSun1+24)=9),SepSun1+24,""))</f>
        <v>42270</v>
      </c>
      <c r="E31" s="3">
        <f>IF(DAY(SepSun1)=1,IF(AND(YEAR(SepSun1+18)=CalendarYear,MONTH(SepSun1+18)=9),SepSun1+18,""),IF(AND(YEAR(SepSun1+25)=CalendarYear,MONTH(SepSun1+25)=9),SepSun1+25,""))</f>
        <v>42271</v>
      </c>
      <c r="F31" s="3">
        <f>IF(DAY(SepSun1)=1,IF(AND(YEAR(SepSun1+19)=CalendarYear,MONTH(SepSun1+19)=9),SepSun1+19,""),IF(AND(YEAR(SepSun1+26)=CalendarYear,MONTH(SepSun1+26)=9),SepSun1+26,""))</f>
        <v>42272</v>
      </c>
      <c r="G31" s="3">
        <f>IF(DAY(SepSun1)=1,IF(AND(YEAR(SepSun1+20)=CalendarYear,MONTH(SepSun1+20)=9),SepSun1+20,""),IF(AND(YEAR(SepSun1+27)=CalendarYear,MONTH(SepSun1+27)=9),SepSun1+27,""))</f>
        <v>42273</v>
      </c>
      <c r="H31" s="3">
        <f>IF(DAY(SepSun1)=1,IF(AND(YEAR(SepSun1+21)=CalendarYear,MONTH(SepSun1+21)=9),SepSun1+21,""),IF(AND(YEAR(SepSun1+28)=CalendarYear,MONTH(SepSun1+28)=9),SepSun1+28,""))</f>
        <v>42274</v>
      </c>
      <c r="I31" s="11"/>
      <c r="J31" s="5"/>
      <c r="K31" s="3">
        <f>IF(DAY(OctSun1)=1,IF(AND(YEAR(OctSun1+15)=CalendarYear,MONTH(OctSun1+15)=10),OctSun1+15,""),IF(AND(YEAR(OctSun1+22)=CalendarYear,MONTH(OctSun1+22)=10),OctSun1+22,""))</f>
        <v>42296</v>
      </c>
      <c r="L31" s="3">
        <f>IF(DAY(OctSun1)=1,IF(AND(YEAR(OctSun1+16)=CalendarYear,MONTH(OctSun1+16)=10),OctSun1+16,""),IF(AND(YEAR(OctSun1+23)=CalendarYear,MONTH(OctSun1+23)=10),OctSun1+23,""))</f>
        <v>42297</v>
      </c>
      <c r="M31" s="3">
        <f>IF(DAY(OctSun1)=1,IF(AND(YEAR(OctSun1+17)=CalendarYear,MONTH(OctSun1+17)=10),OctSun1+17,""),IF(AND(YEAR(OctSun1+24)=CalendarYear,MONTH(OctSun1+24)=10),OctSun1+24,""))</f>
        <v>42298</v>
      </c>
      <c r="N31" s="3">
        <f>IF(DAY(OctSun1)=1,IF(AND(YEAR(OctSun1+18)=CalendarYear,MONTH(OctSun1+18)=10),OctSun1+18,""),IF(AND(YEAR(OctSun1+25)=CalendarYear,MONTH(OctSun1+25)=10),OctSun1+25,""))</f>
        <v>42299</v>
      </c>
      <c r="O31" s="3">
        <f>IF(DAY(OctSun1)=1,IF(AND(YEAR(OctSun1+19)=CalendarYear,MONTH(OctSun1+19)=10),OctSun1+19,""),IF(AND(YEAR(OctSun1+26)=CalendarYear,MONTH(OctSun1+26)=10),OctSun1+26,""))</f>
        <v>42300</v>
      </c>
      <c r="P31" s="3">
        <f>IF(DAY(OctSun1)=1,IF(AND(YEAR(OctSun1+20)=CalendarYear,MONTH(OctSun1+20)=10),OctSun1+20,""),IF(AND(YEAR(OctSun1+27)=CalendarYear,MONTH(OctSun1+27)=10),OctSun1+27,""))</f>
        <v>42301</v>
      </c>
      <c r="Q31" s="3">
        <f>IF(DAY(OctSun1)=1,IF(AND(YEAR(OctSun1+21)=CalendarYear,MONTH(OctSun1+21)=10),OctSun1+21,""),IF(AND(YEAR(OctSun1+28)=CalendarYear,MONTH(OctSun1+28)=10),OctSun1+28,""))</f>
        <v>42302</v>
      </c>
      <c r="R31" s="11"/>
      <c r="T31" s="3">
        <f>IF(DAY(NovSun1)=1,IF(AND(YEAR(NovSun1+15)=CalendarYear,MONTH(NovSun1+15)=11),NovSun1+15,""),IF(AND(YEAR(NovSun1+22)=CalendarYear,MONTH(NovSun1+22)=11),NovSun1+22,""))</f>
        <v>42324</v>
      </c>
      <c r="U31" s="3">
        <f>IF(DAY(NovSun1)=1,IF(AND(YEAR(NovSun1+16)=CalendarYear,MONTH(NovSun1+16)=11),NovSun1+16,""),IF(AND(YEAR(NovSun1+23)=CalendarYear,MONTH(NovSun1+23)=11),NovSun1+23,""))</f>
        <v>42325</v>
      </c>
      <c r="V31" s="3">
        <f>IF(DAY(NovSun1)=1,IF(AND(YEAR(NovSun1+17)=CalendarYear,MONTH(NovSun1+17)=11),NovSun1+17,""),IF(AND(YEAR(NovSun1+24)=CalendarYear,MONTH(NovSun1+24)=11),NovSun1+24,""))</f>
        <v>42326</v>
      </c>
      <c r="W31" s="3">
        <f>IF(DAY(NovSun1)=1,IF(AND(YEAR(NovSun1+18)=CalendarYear,MONTH(NovSun1+18)=11),NovSun1+18,""),IF(AND(YEAR(NovSun1+25)=CalendarYear,MONTH(NovSun1+25)=11),NovSun1+25,""))</f>
        <v>42327</v>
      </c>
      <c r="X31" s="3">
        <f>IF(DAY(NovSun1)=1,IF(AND(YEAR(NovSun1+19)=CalendarYear,MONTH(NovSun1+19)=11),NovSun1+19,""),IF(AND(YEAR(NovSun1+26)=CalendarYear,MONTH(NovSun1+26)=11),NovSun1+26,""))</f>
        <v>42328</v>
      </c>
      <c r="Y31" s="3">
        <f>IF(DAY(NovSun1)=1,IF(AND(YEAR(NovSun1+20)=CalendarYear,MONTH(NovSun1+20)=11),NovSun1+20,""),IF(AND(YEAR(NovSun1+27)=CalendarYear,MONTH(NovSun1+27)=11),NovSun1+27,""))</f>
        <v>42329</v>
      </c>
      <c r="Z31" s="3">
        <f>IF(DAY(NovSun1)=1,IF(AND(YEAR(NovSun1+21)=CalendarYear,MONTH(NovSun1+21)=11),NovSun1+21,""),IF(AND(YEAR(NovSun1+28)=CalendarYear,MONTH(NovSun1+28)=11),NovSun1+28,""))</f>
        <v>42330</v>
      </c>
      <c r="AA31" s="11"/>
      <c r="AB31" s="5"/>
      <c r="AC31" s="3">
        <f>IF(DAY(DecSun1)=1,IF(AND(YEAR(DecSun1+15)=CalendarYear,MONTH(DecSun1+15)=12),DecSun1+15,""),IF(AND(YEAR(DecSun1+22)=CalendarYear,MONTH(DecSun1+22)=12),DecSun1+22,""))</f>
        <v>42359</v>
      </c>
      <c r="AD31" s="3">
        <f>IF(DAY(DecSun1)=1,IF(AND(YEAR(DecSun1+16)=CalendarYear,MONTH(DecSun1+16)=12),DecSun1+16,""),IF(AND(YEAR(DecSun1+23)=CalendarYear,MONTH(DecSun1+23)=12),DecSun1+23,""))</f>
        <v>42360</v>
      </c>
      <c r="AE31" s="3">
        <f>IF(DAY(DecSun1)=1,IF(AND(YEAR(DecSun1+17)=CalendarYear,MONTH(DecSun1+17)=12),DecSun1+17,""),IF(AND(YEAR(DecSun1+24)=CalendarYear,MONTH(DecSun1+24)=12),DecSun1+24,""))</f>
        <v>42361</v>
      </c>
      <c r="AF31" s="3">
        <f>IF(DAY(DecSun1)=1,IF(AND(YEAR(DecSun1+18)=CalendarYear,MONTH(DecSun1+18)=12),DecSun1+18,""),IF(AND(YEAR(DecSun1+25)=CalendarYear,MONTH(DecSun1+25)=12),DecSun1+25,""))</f>
        <v>42362</v>
      </c>
      <c r="AG31" s="3">
        <f>IF(DAY(DecSun1)=1,IF(AND(YEAR(DecSun1+19)=CalendarYear,MONTH(DecSun1+19)=12),DecSun1+19,""),IF(AND(YEAR(DecSun1+26)=CalendarYear,MONTH(DecSun1+26)=12),DecSun1+26,""))</f>
        <v>42363</v>
      </c>
      <c r="AH31" s="3">
        <f>IF(DAY(DecSun1)=1,IF(AND(YEAR(DecSun1+20)=CalendarYear,MONTH(DecSun1+20)=12),DecSun1+20,""),IF(AND(YEAR(DecSun1+27)=CalendarYear,MONTH(DecSun1+27)=12),DecSun1+27,""))</f>
        <v>42364</v>
      </c>
      <c r="AI31" s="3">
        <f>IF(DAY(DecSun1)=1,IF(AND(YEAR(DecSun1+21)=CalendarYear,MONTH(DecSun1+21)=12),DecSun1+21,""),IF(AND(YEAR(DecSun1+28)=CalendarYear,MONTH(DecSun1+28)=12),DecSun1+28,""))</f>
        <v>42365</v>
      </c>
      <c r="AN31" s="34">
        <v>25</v>
      </c>
      <c r="AO31" s="24">
        <v>42378</v>
      </c>
      <c r="AP31" s="24"/>
      <c r="AQ31" s="26"/>
      <c r="AR31" s="16"/>
    </row>
    <row r="32" spans="2:55" ht="14.25" x14ac:dyDescent="0.2">
      <c r="B32" s="3">
        <f>IF(DAY(SepSun1)=1,IF(AND(YEAR(SepSun1+22)=CalendarYear,MONTH(SepSun1+22)=9),SepSun1+22,""),IF(AND(YEAR(SepSun1+29)=CalendarYear,MONTH(SepSun1+29)=9),SepSun1+29,""))</f>
        <v>42275</v>
      </c>
      <c r="C32" s="3">
        <f>IF(DAY(SepSun1)=1,IF(AND(YEAR(SepSun1+23)=CalendarYear,MONTH(SepSun1+23)=9),SepSun1+23,""),IF(AND(YEAR(SepSun1+30)=CalendarYear,MONTH(SepSun1+30)=9),SepSun1+30,""))</f>
        <v>42276</v>
      </c>
      <c r="D32" s="3">
        <f>IF(DAY(SepSun1)=1,IF(AND(YEAR(SepSun1+24)=CalendarYear,MONTH(SepSun1+24)=9),SepSun1+24,""),IF(AND(YEAR(SepSun1+31)=CalendarYear,MONTH(SepSun1+31)=9),SepSun1+31,""))</f>
        <v>42277</v>
      </c>
      <c r="E32" s="3" t="str">
        <f>IF(DAY(SepSun1)=1,IF(AND(YEAR(SepSun1+25)=CalendarYear,MONTH(SepSun1+25)=9),SepSun1+25,""),IF(AND(YEAR(SepSun1+32)=CalendarYear,MONTH(SepSun1+32)=9),SepSun1+32,""))</f>
        <v/>
      </c>
      <c r="F32" s="3" t="str">
        <f>IF(DAY(SepSun1)=1,IF(AND(YEAR(SepSun1+26)=CalendarYear,MONTH(SepSun1+26)=9),SepSun1+26,""),IF(AND(YEAR(SepSun1+33)=CalendarYear,MONTH(SepSun1+33)=9),SepSun1+33,""))</f>
        <v/>
      </c>
      <c r="G32" s="3" t="str">
        <f>IF(DAY(SepSun1)=1,IF(AND(YEAR(SepSun1+27)=CalendarYear,MONTH(SepSun1+27)=9),SepSun1+27,""),IF(AND(YEAR(SepSun1+34)=CalendarYear,MONTH(SepSun1+34)=9),SepSun1+34,""))</f>
        <v/>
      </c>
      <c r="H32" s="3" t="str">
        <f>IF(DAY(SepSun1)=1,IF(AND(YEAR(SepSun1+28)=CalendarYear,MONTH(SepSun1+28)=9),SepSun1+28,""),IF(AND(YEAR(SepSun1+35)=CalendarYear,MONTH(SepSun1+35)=9),SepSun1+35,""))</f>
        <v/>
      </c>
      <c r="I32" s="11"/>
      <c r="J32" s="5"/>
      <c r="K32" s="3">
        <f>IF(DAY(OctSun1)=1,IF(AND(YEAR(OctSun1+22)=CalendarYear,MONTH(OctSun1+22)=10),OctSun1+22,""),IF(AND(YEAR(OctSun1+29)=CalendarYear,MONTH(OctSun1+29)=10),OctSun1+29,""))</f>
        <v>42303</v>
      </c>
      <c r="L32" s="3">
        <f>IF(DAY(OctSun1)=1,IF(AND(YEAR(OctSun1+23)=CalendarYear,MONTH(OctSun1+23)=10),OctSun1+23,""),IF(AND(YEAR(OctSun1+30)=CalendarYear,MONTH(OctSun1+30)=10),OctSun1+30,""))</f>
        <v>42304</v>
      </c>
      <c r="M32" s="3">
        <f>IF(DAY(OctSun1)=1,IF(AND(YEAR(OctSun1+24)=CalendarYear,MONTH(OctSun1+24)=10),OctSun1+24,""),IF(AND(YEAR(OctSun1+31)=CalendarYear,MONTH(OctSun1+31)=10),OctSun1+31,""))</f>
        <v>42305</v>
      </c>
      <c r="N32" s="3">
        <f>IF(DAY(OctSun1)=1,IF(AND(YEAR(OctSun1+25)=CalendarYear,MONTH(OctSun1+25)=10),OctSun1+25,""),IF(AND(YEAR(OctSun1+32)=CalendarYear,MONTH(OctSun1+32)=10),OctSun1+32,""))</f>
        <v>42306</v>
      </c>
      <c r="O32" s="3">
        <f>IF(DAY(OctSun1)=1,IF(AND(YEAR(OctSun1+26)=CalendarYear,MONTH(OctSun1+26)=10),OctSun1+26,""),IF(AND(YEAR(OctSun1+33)=CalendarYear,MONTH(OctSun1+33)=10),OctSun1+33,""))</f>
        <v>42307</v>
      </c>
      <c r="P32" s="3">
        <f>IF(DAY(OctSun1)=1,IF(AND(YEAR(OctSun1+27)=CalendarYear,MONTH(OctSun1+27)=10),OctSun1+27,""),IF(AND(YEAR(OctSun1+34)=CalendarYear,MONTH(OctSun1+34)=10),OctSun1+34,""))</f>
        <v>42308</v>
      </c>
      <c r="Q32" s="3" t="str">
        <f>IF(DAY(OctSun1)=1,IF(AND(YEAR(OctSun1+28)=CalendarYear,MONTH(OctSun1+28)=10),OctSun1+28,""),IF(AND(YEAR(OctSun1+35)=CalendarYear,MONTH(OctSun1+35)=10),OctSun1+35,""))</f>
        <v/>
      </c>
      <c r="R32" s="11"/>
      <c r="T32" s="3">
        <f>IF(DAY(NovSun1)=1,IF(AND(YEAR(NovSun1+22)=CalendarYear,MONTH(NovSun1+22)=11),NovSun1+22,""),IF(AND(YEAR(NovSun1+29)=CalendarYear,MONTH(NovSun1+29)=11),NovSun1+29,""))</f>
        <v>42331</v>
      </c>
      <c r="U32" s="3">
        <f>IF(DAY(NovSun1)=1,IF(AND(YEAR(NovSun1+23)=CalendarYear,MONTH(NovSun1+23)=11),NovSun1+23,""),IF(AND(YEAR(NovSun1+30)=CalendarYear,MONTH(NovSun1+30)=11),NovSun1+30,""))</f>
        <v>42332</v>
      </c>
      <c r="V32" s="3">
        <f>IF(DAY(NovSun1)=1,IF(AND(YEAR(NovSun1+24)=CalendarYear,MONTH(NovSun1+24)=11),NovSun1+24,""),IF(AND(YEAR(NovSun1+31)=CalendarYear,MONTH(NovSun1+31)=11),NovSun1+31,""))</f>
        <v>42333</v>
      </c>
      <c r="W32" s="3">
        <f>IF(DAY(NovSun1)=1,IF(AND(YEAR(NovSun1+25)=CalendarYear,MONTH(NovSun1+25)=11),NovSun1+25,""),IF(AND(YEAR(NovSun1+32)=CalendarYear,MONTH(NovSun1+32)=11),NovSun1+32,""))</f>
        <v>42334</v>
      </c>
      <c r="X32" s="3">
        <f>IF(DAY(NovSun1)=1,IF(AND(YEAR(NovSun1+26)=CalendarYear,MONTH(NovSun1+26)=11),NovSun1+26,""),IF(AND(YEAR(NovSun1+33)=CalendarYear,MONTH(NovSun1+33)=11),NovSun1+33,""))</f>
        <v>42335</v>
      </c>
      <c r="Y32" s="3">
        <f>IF(DAY(NovSun1)=1,IF(AND(YEAR(NovSun1+27)=CalendarYear,MONTH(NovSun1+27)=11),NovSun1+27,""),IF(AND(YEAR(NovSun1+34)=CalendarYear,MONTH(NovSun1+34)=11),NovSun1+34,""))</f>
        <v>42336</v>
      </c>
      <c r="Z32" s="3">
        <f>IF(DAY(NovSun1)=1,IF(AND(YEAR(NovSun1+28)=CalendarYear,MONTH(NovSun1+28)=11),NovSun1+28,""),IF(AND(YEAR(NovSun1+35)=CalendarYear,MONTH(NovSun1+35)=11),NovSun1+35,""))</f>
        <v>42337</v>
      </c>
      <c r="AA32" s="11"/>
      <c r="AB32" s="5"/>
      <c r="AC32" s="3">
        <f>IF(DAY(DecSun1)=1,IF(AND(YEAR(DecSun1+22)=CalendarYear,MONTH(DecSun1+22)=12),DecSun1+22,""),IF(AND(YEAR(DecSun1+29)=CalendarYear,MONTH(DecSun1+29)=12),DecSun1+29,""))</f>
        <v>42366</v>
      </c>
      <c r="AD32" s="3">
        <f>IF(DAY(DecSun1)=1,IF(AND(YEAR(DecSun1+23)=CalendarYear,MONTH(DecSun1+23)=12),DecSun1+23,""),IF(AND(YEAR(DecSun1+30)=CalendarYear,MONTH(DecSun1+30)=12),DecSun1+30,""))</f>
        <v>42367</v>
      </c>
      <c r="AE32" s="3">
        <f>IF(DAY(DecSun1)=1,IF(AND(YEAR(DecSun1+24)=CalendarYear,MONTH(DecSun1+24)=12),DecSun1+24,""),IF(AND(YEAR(DecSun1+31)=CalendarYear,MONTH(DecSun1+31)=12),DecSun1+31,""))</f>
        <v>42368</v>
      </c>
      <c r="AF32" s="3">
        <f>IF(DAY(DecSun1)=1,IF(AND(YEAR(DecSun1+25)=CalendarYear,MONTH(DecSun1+25)=12),DecSun1+25,""),IF(AND(YEAR(DecSun1+32)=CalendarYear,MONTH(DecSun1+32)=12),DecSun1+32,""))</f>
        <v>42369</v>
      </c>
      <c r="AG32" s="3" t="str">
        <f>IF(DAY(DecSun1)=1,IF(AND(YEAR(DecSun1+26)=CalendarYear,MONTH(DecSun1+26)=12),DecSun1+26,""),IF(AND(YEAR(DecSun1+33)=CalendarYear,MONTH(DecSun1+33)=12),DecSun1+33,""))</f>
        <v/>
      </c>
      <c r="AH32" s="3" t="str">
        <f>IF(DAY(DecSun1)=1,IF(AND(YEAR(DecSun1+27)=CalendarYear,MONTH(DecSun1+27)=12),DecSun1+27,""),IF(AND(YEAR(DecSun1+34)=CalendarYear,MONTH(DecSun1+34)=12),DecSun1+34,""))</f>
        <v/>
      </c>
      <c r="AI32" s="3" t="str">
        <f>IF(DAY(DecSun1)=1,IF(AND(YEAR(DecSun1+28)=CalendarYear,MONTH(DecSun1+28)=12),DecSun1+28,""),IF(AND(YEAR(DecSun1+35)=CalendarYear,MONTH(DecSun1+35)=12),DecSun1+35,""))</f>
        <v/>
      </c>
      <c r="AN32" s="34">
        <v>26</v>
      </c>
      <c r="AO32" s="24">
        <v>42379</v>
      </c>
      <c r="AP32" s="42"/>
      <c r="AQ32" s="43"/>
      <c r="AR32" s="44"/>
    </row>
    <row r="33" spans="2:44" ht="14.25" x14ac:dyDescent="0.2">
      <c r="B33" s="3" t="str">
        <f>IF(DAY(SepSun1)=1,IF(AND(YEAR(SepSun1+29)=CalendarYear,MONTH(SepSun1+29)=9),SepSun1+29,""),IF(AND(YEAR(SepSun1+36)=CalendarYear,MONTH(SepSun1+36)=9),SepSun1+36,""))</f>
        <v/>
      </c>
      <c r="C33" s="3" t="str">
        <f>IF(DAY(SepSun1)=1,IF(AND(YEAR(SepSun1+30)=CalendarYear,MONTH(SepSun1+30)=9),SepSun1+30,""),IF(AND(YEAR(SepSun1+37)=CalendarYear,MONTH(SepSun1+37)=9),SepSun1+37,""))</f>
        <v/>
      </c>
      <c r="D33" s="3" t="str">
        <f>IF(DAY(SepSun1)=1,IF(AND(YEAR(SepSun1+31)=CalendarYear,MONTH(SepSun1+31)=9),SepSun1+31,""),IF(AND(YEAR(SepSun1+38)=CalendarYear,MONTH(SepSun1+38)=9),SepSun1+38,""))</f>
        <v/>
      </c>
      <c r="E33" s="3" t="str">
        <f>IF(DAY(SepSun1)=1,IF(AND(YEAR(SepSun1+32)=CalendarYear,MONTH(SepSun1+32)=9),SepSun1+32,""),IF(AND(YEAR(SepSun1+39)=CalendarYear,MONTH(SepSun1+39)=9),SepSun1+39,""))</f>
        <v/>
      </c>
      <c r="F33" s="3" t="str">
        <f>IF(DAY(SepSun1)=1,IF(AND(YEAR(SepSun1+33)=CalendarYear,MONTH(SepSun1+33)=9),SepSun1+33,""),IF(AND(YEAR(SepSun1+40)=CalendarYear,MONTH(SepSun1+40)=9),SepSun1+40,""))</f>
        <v/>
      </c>
      <c r="G33" s="3" t="str">
        <f>IF(DAY(SepSun1)=1,IF(AND(YEAR(SepSun1+34)=CalendarYear,MONTH(SepSun1+34)=9),SepSun1+34,""),IF(AND(YEAR(SepSun1+41)=CalendarYear,MONTH(SepSun1+41)=9),SepSun1+41,""))</f>
        <v/>
      </c>
      <c r="H33" s="3" t="str">
        <f>IF(DAY(SepSun1)=1,IF(AND(YEAR(SepSun1+35)=CalendarYear,MONTH(SepSun1+35)=9),SepSun1+35,""),IF(AND(YEAR(SepSun1+42)=CalendarYear,MONTH(SepSun1+42)=9),SepSun1+42,""))</f>
        <v/>
      </c>
      <c r="I33" s="11"/>
      <c r="J33" s="5"/>
      <c r="K33" s="3" t="str">
        <f>IF(DAY(OctSun1)=1,IF(AND(YEAR(OctSun1+29)=CalendarYear,MONTH(OctSun1+29)=10),OctSun1+29,""),IF(AND(YEAR(OctSun1+36)=CalendarYear,MONTH(OctSun1+36)=10),OctSun1+36,""))</f>
        <v/>
      </c>
      <c r="L33" s="3" t="str">
        <f>IF(DAY(OctSun1)=1,IF(AND(YEAR(OctSun1+30)=CalendarYear,MONTH(OctSun1+30)=10),OctSun1+30,""),IF(AND(YEAR(OctSun1+37)=CalendarYear,MONTH(OctSun1+37)=10),OctSun1+37,""))</f>
        <v/>
      </c>
      <c r="M33" s="3" t="str">
        <f>IF(DAY(OctSun1)=1,IF(AND(YEAR(OctSun1+31)=CalendarYear,MONTH(OctSun1+31)=10),OctSun1+31,""),IF(AND(YEAR(OctSun1+38)=CalendarYear,MONTH(OctSun1+38)=10),OctSun1+38,""))</f>
        <v/>
      </c>
      <c r="N33" s="3" t="str">
        <f>IF(DAY(OctSun1)=1,IF(AND(YEAR(OctSun1+32)=CalendarYear,MONTH(OctSun1+32)=10),OctSun1+32,""),IF(AND(YEAR(OctSun1+39)=CalendarYear,MONTH(OctSun1+39)=10),OctSun1+39,""))</f>
        <v/>
      </c>
      <c r="O33" s="3" t="str">
        <f>IF(DAY(OctSun1)=1,IF(AND(YEAR(OctSun1+33)=CalendarYear,MONTH(OctSun1+33)=10),OctSun1+33,""),IF(AND(YEAR(OctSun1+40)=CalendarYear,MONTH(OctSun1+40)=10),OctSun1+40,""))</f>
        <v/>
      </c>
      <c r="P33" s="3" t="str">
        <f>IF(DAY(OctSun1)=1,IF(AND(YEAR(OctSun1+34)=CalendarYear,MONTH(OctSun1+34)=10),OctSun1+34,""),IF(AND(YEAR(OctSun1+41)=CalendarYear,MONTH(OctSun1+41)=10),OctSun1+41,""))</f>
        <v/>
      </c>
      <c r="Q33" s="3" t="str">
        <f>IF(DAY(OctSun1)=1,IF(AND(YEAR(OctSun1+35)=CalendarYear,MONTH(OctSun1+35)=10),OctSun1+35,""),IF(AND(YEAR(OctSun1+42)=CalendarYear,MONTH(OctSun1+42)=10),OctSun1+42,""))</f>
        <v/>
      </c>
      <c r="R33" s="11"/>
      <c r="T33" s="3">
        <f>IF(DAY(NovSun1)=1,IF(AND(YEAR(NovSun1+29)=CalendarYear,MONTH(NovSun1+29)=11),NovSun1+29,""),IF(AND(YEAR(NovSun1+36)=CalendarYear,MONTH(NovSun1+36)=11),NovSun1+36,""))</f>
        <v>42338</v>
      </c>
      <c r="U33" s="3" t="str">
        <f>IF(DAY(NovSun1)=1,IF(AND(YEAR(NovSun1+30)=CalendarYear,MONTH(NovSun1+30)=11),NovSun1+30,""),IF(AND(YEAR(NovSun1+37)=CalendarYear,MONTH(NovSun1+37)=11),NovSun1+37,""))</f>
        <v/>
      </c>
      <c r="V33" s="3" t="str">
        <f>IF(DAY(NovSun1)=1,IF(AND(YEAR(NovSun1+31)=CalendarYear,MONTH(NovSun1+31)=11),NovSun1+31,""),IF(AND(YEAR(NovSun1+38)=CalendarYear,MONTH(NovSun1+38)=11),NovSun1+38,""))</f>
        <v/>
      </c>
      <c r="W33" s="3" t="str">
        <f>IF(DAY(NovSun1)=1,IF(AND(YEAR(NovSun1+32)=CalendarYear,MONTH(NovSun1+32)=11),NovSun1+32,""),IF(AND(YEAR(NovSun1+39)=CalendarYear,MONTH(NovSun1+39)=11),NovSun1+39,""))</f>
        <v/>
      </c>
      <c r="X33" s="3" t="str">
        <f>IF(DAY(NovSun1)=1,IF(AND(YEAR(NovSun1+33)=CalendarYear,MONTH(NovSun1+33)=11),NovSun1+33,""),IF(AND(YEAR(NovSun1+40)=CalendarYear,MONTH(NovSun1+40)=11),NovSun1+40,""))</f>
        <v/>
      </c>
      <c r="Y33" s="3" t="str">
        <f>IF(DAY(NovSun1)=1,IF(AND(YEAR(NovSun1+34)=CalendarYear,MONTH(NovSun1+34)=11),NovSun1+34,""),IF(AND(YEAR(NovSun1+41)=CalendarYear,MONTH(NovSun1+41)=11),NovSun1+41,""))</f>
        <v/>
      </c>
      <c r="Z33" s="3" t="str">
        <f>IF(DAY(NovSun1)=1,IF(AND(YEAR(NovSun1+35)=CalendarYear,MONTH(NovSun1+35)=11),NovSun1+35,""),IF(AND(YEAR(NovSun1+42)=CalendarYear,MONTH(NovSun1+42)=11),NovSun1+42,""))</f>
        <v/>
      </c>
      <c r="AA33" s="11"/>
      <c r="AB33" s="5"/>
      <c r="AC33" s="3" t="str">
        <f>IF(DAY(DecSun1)=1,IF(AND(YEAR(DecSun1+29)=CalendarYear,MONTH(DecSun1+29)=12),DecSun1+29,""),IF(AND(YEAR(DecSun1+36)=CalendarYear,MONTH(DecSun1+36)=12),DecSun1+36,""))</f>
        <v/>
      </c>
      <c r="AD33" s="3" t="str">
        <f>IF(DAY(DecSun1)=1,IF(AND(YEAR(DecSun1+30)=CalendarYear,MONTH(DecSun1+30)=12),DecSun1+30,""),IF(AND(YEAR(DecSun1+37)=CalendarYear,MONTH(DecSun1+37)=12),DecSun1+37,""))</f>
        <v/>
      </c>
      <c r="AE33" s="3" t="str">
        <f>IF(DAY(DecSun1)=1,IF(AND(YEAR(DecSun1+31)=CalendarYear,MONTH(DecSun1+31)=12),DecSun1+31,""),IF(AND(YEAR(DecSun1+38)=CalendarYear,MONTH(DecSun1+38)=12),DecSun1+38,""))</f>
        <v/>
      </c>
      <c r="AF33" s="3" t="str">
        <f>IF(DAY(DecSun1)=1,IF(AND(YEAR(DecSun1+32)=CalendarYear,MONTH(DecSun1+32)=12),DecSun1+32,""),IF(AND(YEAR(DecSun1+39)=CalendarYear,MONTH(DecSun1+39)=12),DecSun1+39,""))</f>
        <v/>
      </c>
      <c r="AG33" s="3" t="str">
        <f>IF(DAY(DecSun1)=1,IF(AND(YEAR(DecSun1+33)=CalendarYear,MONTH(DecSun1+33)=12),DecSun1+33,""),IF(AND(YEAR(DecSun1+40)=CalendarYear,MONTH(DecSun1+40)=12),DecSun1+40,""))</f>
        <v/>
      </c>
      <c r="AH33" s="3" t="str">
        <f>IF(DAY(DecSun1)=1,IF(AND(YEAR(DecSun1+34)=CalendarYear,MONTH(DecSun1+34)=12),DecSun1+34,""),IF(AND(YEAR(DecSun1+41)=CalendarYear,MONTH(DecSun1+41)=12),DecSun1+41,""))</f>
        <v/>
      </c>
      <c r="AI33" s="3" t="str">
        <f>IF(DAY(DecSun1)=1,IF(AND(YEAR(DecSun1+35)=CalendarYear,MONTH(DecSun1+35)=12),DecSun1+35,""),IF(AND(YEAR(DecSun1+42)=CalendarYear,MONTH(DecSun1+42)=12),DecSun1+42,""))</f>
        <v/>
      </c>
      <c r="AN33" s="34">
        <v>27</v>
      </c>
      <c r="AO33" s="24"/>
      <c r="AP33" s="24"/>
      <c r="AQ33" s="26"/>
      <c r="AR33" s="16"/>
    </row>
    <row r="34" spans="2:44" ht="14.25" x14ac:dyDescent="0.2">
      <c r="B34" s="62">
        <f>AF4</f>
        <v>2016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N34" s="34">
        <v>28</v>
      </c>
      <c r="AO34" s="24"/>
      <c r="AP34" s="42"/>
      <c r="AQ34" s="43"/>
      <c r="AR34" s="44"/>
    </row>
    <row r="35" spans="2:44" ht="15.75" x14ac:dyDescent="0.25">
      <c r="B35" s="64">
        <f>DATE(CalendarYear+1,1,1)</f>
        <v>42370</v>
      </c>
      <c r="C35" s="64"/>
      <c r="D35" s="64"/>
      <c r="E35" s="64"/>
      <c r="F35" s="64"/>
      <c r="G35" s="64"/>
      <c r="H35" s="64"/>
      <c r="I35" s="9"/>
      <c r="J35" s="1"/>
      <c r="K35" s="64">
        <f>DATE(CalendarYear+1,2,1)</f>
        <v>42401</v>
      </c>
      <c r="L35" s="64"/>
      <c r="M35" s="64"/>
      <c r="N35" s="64"/>
      <c r="O35" s="64"/>
      <c r="P35" s="64"/>
      <c r="Q35" s="64"/>
      <c r="R35" s="9"/>
      <c r="T35" s="64">
        <f>DATE(CalendarYear+1,3,1)</f>
        <v>42430</v>
      </c>
      <c r="U35" s="64"/>
      <c r="V35" s="64"/>
      <c r="W35" s="64"/>
      <c r="X35" s="64"/>
      <c r="Y35" s="64"/>
      <c r="Z35" s="64"/>
      <c r="AA35" s="9"/>
      <c r="AB35" s="4"/>
      <c r="AC35" s="64">
        <f>DATE(CalendarYear+1,4,1)</f>
        <v>42461</v>
      </c>
      <c r="AD35" s="64"/>
      <c r="AE35" s="64"/>
      <c r="AF35" s="64"/>
      <c r="AG35" s="64"/>
      <c r="AH35" s="64"/>
      <c r="AI35" s="64"/>
      <c r="AN35" s="34">
        <v>29</v>
      </c>
      <c r="AO35" s="24"/>
      <c r="AP35" s="24"/>
      <c r="AQ35" s="26"/>
      <c r="AR35" s="16"/>
    </row>
    <row r="36" spans="2:44" ht="15.75" x14ac:dyDescent="0.25">
      <c r="B36" s="8" t="s">
        <v>1</v>
      </c>
      <c r="C36" s="8" t="s">
        <v>2</v>
      </c>
      <c r="D36" s="8" t="s">
        <v>0</v>
      </c>
      <c r="E36" s="8" t="s">
        <v>3</v>
      </c>
      <c r="F36" s="8" t="s">
        <v>1</v>
      </c>
      <c r="G36" s="8" t="s">
        <v>0</v>
      </c>
      <c r="H36" s="8" t="s">
        <v>4</v>
      </c>
      <c r="I36" s="10"/>
      <c r="J36" s="2"/>
      <c r="K36" s="8" t="s">
        <v>1</v>
      </c>
      <c r="L36" s="8" t="s">
        <v>2</v>
      </c>
      <c r="M36" s="8" t="s">
        <v>0</v>
      </c>
      <c r="N36" s="8" t="s">
        <v>3</v>
      </c>
      <c r="O36" s="8" t="s">
        <v>1</v>
      </c>
      <c r="P36" s="8" t="s">
        <v>0</v>
      </c>
      <c r="Q36" s="8" t="s">
        <v>4</v>
      </c>
      <c r="R36" s="10"/>
      <c r="T36" s="8" t="s">
        <v>1</v>
      </c>
      <c r="U36" s="8" t="s">
        <v>2</v>
      </c>
      <c r="V36" s="8" t="s">
        <v>0</v>
      </c>
      <c r="W36" s="8" t="s">
        <v>3</v>
      </c>
      <c r="X36" s="8" t="s">
        <v>1</v>
      </c>
      <c r="Y36" s="8" t="s">
        <v>0</v>
      </c>
      <c r="Z36" s="8" t="s">
        <v>4</v>
      </c>
      <c r="AA36" s="10"/>
      <c r="AB36" s="1"/>
      <c r="AC36" s="8" t="s">
        <v>1</v>
      </c>
      <c r="AD36" s="8" t="s">
        <v>2</v>
      </c>
      <c r="AE36" s="8" t="s">
        <v>0</v>
      </c>
      <c r="AF36" s="8" t="s">
        <v>3</v>
      </c>
      <c r="AG36" s="8" t="s">
        <v>1</v>
      </c>
      <c r="AH36" s="8" t="s">
        <v>0</v>
      </c>
      <c r="AI36" s="8" t="s">
        <v>4</v>
      </c>
      <c r="AN36" s="34">
        <v>30</v>
      </c>
      <c r="AO36" s="42">
        <v>42448</v>
      </c>
      <c r="AP36" s="42"/>
      <c r="AQ36" s="43"/>
      <c r="AR36" s="44"/>
    </row>
    <row r="37" spans="2:44" ht="14.25" x14ac:dyDescent="0.2">
      <c r="B37" s="3" t="str">
        <f>IF(DAY(JanSun1)=1,"",IF(AND(YEAR(JanSun1+1)=CalendarYear+1+1,MONTH(JanSun1+1)=1),JanSun1+1,""))</f>
        <v/>
      </c>
      <c r="C37" s="3" t="str">
        <f>IF(DAY(JanSun1)=1,"",IF(AND(YEAR(JanSun1+2)=CalendarYear+1,MONTH(JanSun1+2)=1),JanSun1+2,""))</f>
        <v/>
      </c>
      <c r="D37" s="3" t="str">
        <f>IF(DAY(JanSun1)=1,"",IF(AND(YEAR(JanSun1+3)=CalendarYear+1,MONTH(JanSun1+3)=1),JanSun1+3,""))</f>
        <v/>
      </c>
      <c r="E37" s="3" t="str">
        <f>IF(DAY(JanSun1)=1,"",IF(AND(YEAR(JanSun1+4)=CalendarYear+1,MONTH(JanSun1+4)=1),JanSun1+4,""))</f>
        <v/>
      </c>
      <c r="F37" s="3">
        <f>IF(DAY(JanSun1)=1,"",IF(AND(YEAR(JanSun1+5)=CalendarYear+1,MONTH(JanSun1+5)=1),JanSun1+5,""))</f>
        <v>42370</v>
      </c>
      <c r="G37" s="3">
        <f>IF(DAY(JanSun1)=1,"",IF(AND(YEAR(JanSun1+6)=CalendarYear+1,MONTH(JanSun1+6)=1),JanSun1+6,""))</f>
        <v>42371</v>
      </c>
      <c r="H37" s="3">
        <f>IF(DAY(JanSun1)=1,IF(AND(YEAR(JanSun1)=CalendarYear+1,MONTH(JanSun1)=1),JanSun1,""),IF(AND(YEAR(JanSun1+7)=CalendarYear+1,MONTH(JanSun1+7)=1),JanSun1+7,""))</f>
        <v>42372</v>
      </c>
      <c r="I37" s="11"/>
      <c r="J37" s="3"/>
      <c r="K37" s="3">
        <f>IF(DAY(FebSun1)=1,"",IF(AND(YEAR(FebSun1+1)=CalendarYear+1,MONTH(FebSun1+1)=2),FebSun1+1,""))</f>
        <v>42401</v>
      </c>
      <c r="L37" s="3">
        <f>IF(DAY(FebSun1)=1,"",IF(AND(YEAR(FebSun1+2)=CalendarYear+1,MONTH(FebSun1+2)=2),FebSun1+2,""))</f>
        <v>42402</v>
      </c>
      <c r="M37" s="3">
        <f>IF(DAY(FebSun1)=1,"",IF(AND(YEAR(FebSun1+3)=CalendarYear+1,MONTH(FebSun1+3)=2),FebSun1+3,""))</f>
        <v>42403</v>
      </c>
      <c r="N37" s="3">
        <f>IF(DAY(FebSun1)=1,"",IF(AND(YEAR(FebSun1+4)=CalendarYear+1,MONTH(FebSun1+4)=2),FebSun1+4,""))</f>
        <v>42404</v>
      </c>
      <c r="O37" s="3">
        <f>IF(DAY(FebSun1)=1,"",IF(AND(YEAR(FebSun1+5)=CalendarYear+1,MONTH(FebSun1+5)=2),FebSun1+5,""))</f>
        <v>42405</v>
      </c>
      <c r="P37" s="3">
        <f>IF(DAY(FebSun1)=1,"",IF(AND(YEAR(FebSun1+6)=CalendarYear+1,MONTH(FebSun1+6)=2),FebSun1+6,""))</f>
        <v>42406</v>
      </c>
      <c r="Q37" s="3">
        <f>IF(DAY(FebSun1)=1,IF(AND(YEAR(FebSun1)=CalendarYear+1,MONTH(FebSun1)=2),FebSun1,""),IF(AND(YEAR(FebSun1+7)=CalendarYear+1,MONTH(FebSun1+7)=2),FebSun1+7,""))</f>
        <v>42407</v>
      </c>
      <c r="R37" s="11"/>
      <c r="T37" s="3" t="str">
        <f>IF(DAY(MarSun1)=1,"",IF(AND(YEAR(MarSun1+1)=CalendarYear+1,MONTH(MarSun1+1)=3),MarSun1+1,""))</f>
        <v/>
      </c>
      <c r="U37" s="3">
        <f>IF(DAY(MarSun1)=1,"",IF(AND(YEAR(MarSun1+2)=CalendarYear+1,MONTH(MarSun1+2)=3),MarSun1+2,""))</f>
        <v>42430</v>
      </c>
      <c r="V37" s="3">
        <f>IF(DAY(MarSun1)=1,"",IF(AND(YEAR(MarSun1+3)=CalendarYear+1,MONTH(MarSun1+3)=3),MarSun1+3,""))</f>
        <v>42431</v>
      </c>
      <c r="W37" s="3">
        <f>IF(DAY(MarSun1)=1,"",IF(AND(YEAR(MarSun1+4)=CalendarYear+1,MONTH(MarSun1+4)=3),MarSun1+4,""))</f>
        <v>42432</v>
      </c>
      <c r="X37" s="3">
        <f>IF(DAY(MarSun1)=1,"",IF(AND(YEAR(MarSun1+5)=CalendarYear+1,MONTH(MarSun1+5)=3),MarSun1+5,""))</f>
        <v>42433</v>
      </c>
      <c r="Y37" s="3">
        <f>IF(DAY(MarSun1)=1,"",IF(AND(YEAR(MarSun1+6)=CalendarYear+1,MONTH(MarSun1+6)=3),MarSun1+6,""))</f>
        <v>42434</v>
      </c>
      <c r="Z37" s="3">
        <f>IF(DAY(MarSun1)=1,IF(AND(YEAR(MarSun1)=CalendarYear+1,MONTH(MarSun1)=3),MarSun1,""),IF(AND(YEAR(MarSun1+7)=CalendarYear+1,MONTH(MarSun1+7)=3),MarSun1+7,""))</f>
        <v>42435</v>
      </c>
      <c r="AA37" s="11"/>
      <c r="AB37" s="2"/>
      <c r="AC37" s="3" t="str">
        <f>IF(DAY(AprSun1)=1,"",IF(AND(YEAR(AprSun1+1)=CalendarYear+1,MONTH(AprSun1+1)=4),AprSun1+1,""))</f>
        <v/>
      </c>
      <c r="AD37" s="3" t="str">
        <f>IF(DAY(AprSun1)=1,"",IF(AND(YEAR(AprSun1+2)=CalendarYear+1,MONTH(AprSun1+2)=4),AprSun1+2,""))</f>
        <v/>
      </c>
      <c r="AE37" s="3" t="str">
        <f>IF(DAY(AprSun1)=1,"",IF(AND(YEAR(AprSun1+3)=CalendarYear+1,MONTH(AprSun1+3)=4),AprSun1+3,""))</f>
        <v/>
      </c>
      <c r="AF37" s="3" t="str">
        <f>IF(DAY(AprSun1)=1,"",IF(AND(YEAR(AprSun1+4)=CalendarYear+1,MONTH(AprSun1+4)=4),AprSun1+4,""))</f>
        <v/>
      </c>
      <c r="AG37" s="3">
        <f>IF(DAY(AprSun1)=1,"",IF(AND(YEAR(AprSun1+5)=CalendarYear+1,MONTH(AprSun1+5)=4),AprSun1+5,""))</f>
        <v>42461</v>
      </c>
      <c r="AH37" s="3">
        <f>IF(DAY(AprSun1)=1,"",IF(AND(YEAR(AprSun1+6)=CalendarYear+1,MONTH(AprSun1+6)=4),AprSun1+6,""))</f>
        <v>42462</v>
      </c>
      <c r="AI37" s="3">
        <f>IF(DAY(AprSun1)=1,IF(AND(YEAR(AprSun1)=CalendarYear+1,MONTH(AprSun1)=4),AprSun1,""),IF(AND(YEAR(AprSun1+7)=CalendarYear+1,MONTH(AprSun1+7)=4),AprSun1+7,""))</f>
        <v>42463</v>
      </c>
      <c r="AN37" s="34">
        <v>31</v>
      </c>
      <c r="AO37" s="42">
        <v>42449</v>
      </c>
      <c r="AP37" s="24"/>
      <c r="AQ37" s="26"/>
      <c r="AR37" s="16"/>
    </row>
    <row r="38" spans="2:44" ht="14.25" x14ac:dyDescent="0.2">
      <c r="B38" s="3">
        <f>IF(DAY(JanSun1)=1,IF(AND(YEAR(JanSun1+1)=CalendarYear+1,MONTH(JanSun1+1)=1),JanSun1+1,""),IF(AND(YEAR(JanSun1+8)=CalendarYear+1,MONTH(JanSun1+8)=1),JanSun1+8,""))</f>
        <v>42373</v>
      </c>
      <c r="C38" s="3">
        <f>IF(DAY(JanSun1)=1,IF(AND(YEAR(JanSun1+2)=CalendarYear+1,MONTH(JanSun1+2)=1),JanSun1+2,""),IF(AND(YEAR(JanSun1+9)=CalendarYear+1,MONTH(JanSun1+9)=1),JanSun1+9,""))</f>
        <v>42374</v>
      </c>
      <c r="D38" s="3">
        <f>IF(DAY(JanSun1)=1,IF(AND(YEAR(JanSun1+3)=CalendarYear+1,MONTH(JanSun1+3)=1),JanSun1+3,""),IF(AND(YEAR(JanSun1+10)=CalendarYear+1,MONTH(JanSun1+10)=1),JanSun1+10,""))</f>
        <v>42375</v>
      </c>
      <c r="E38" s="3">
        <f>IF(DAY(JanSun1)=1,IF(AND(YEAR(JanSun1+4)=CalendarYear+1,MONTH(JanSun1+4)=1),JanSun1+4,""),IF(AND(YEAR(JanSun1+11)=CalendarYear+1,MONTH(JanSun1+11)=1),JanSun1+11,""))</f>
        <v>42376</v>
      </c>
      <c r="F38" s="3">
        <f>IF(DAY(JanSun1)=1,IF(AND(YEAR(JanSun1+5)=CalendarYear+1,MONTH(JanSun1+5)=1),JanSun1+5,""),IF(AND(YEAR(JanSun1+12)=CalendarYear+1,MONTH(JanSun1+12)=1),JanSun1+12,""))</f>
        <v>42377</v>
      </c>
      <c r="G38" s="3">
        <f>IF(DAY(JanSun1)=1,IF(AND(YEAR(JanSun1+6)=CalendarYear+1,MONTH(JanSun1+6)=1),JanSun1+6,""),IF(AND(YEAR(JanSun1+13)=CalendarYear+1,MONTH(JanSun1+13)=1),JanSun1+13,""))</f>
        <v>42378</v>
      </c>
      <c r="H38" s="3">
        <f>IF(DAY(JanSun1)=1,IF(AND(YEAR(JanSun1+7)=CalendarYear+1,MONTH(JanSun1+7)=1),JanSun1+7,""),IF(AND(YEAR(JanSun1+14)=CalendarYear+1,MONTH(JanSun1+14)=1),JanSun1+14,""))</f>
        <v>42379</v>
      </c>
      <c r="I38" s="11"/>
      <c r="J38" s="3"/>
      <c r="K38" s="3">
        <f>IF(DAY(FebSun1)=1,IF(AND(YEAR(FebSun1+1)=CalendarYear+1,MONTH(FebSun1+1)=2),FebSun1+1,""),IF(AND(YEAR(FebSun1+8)=CalendarYear+1,MONTH(FebSun1+8)=2),FebSun1+8,""))</f>
        <v>42408</v>
      </c>
      <c r="L38" s="3">
        <f>IF(DAY(FebSun1)=1,IF(AND(YEAR(FebSun1+2)=CalendarYear+1,MONTH(FebSun1+2)=2),FebSun1+2,""),IF(AND(YEAR(FebSun1+9)=CalendarYear+1,MONTH(FebSun1+9)=2),FebSun1+9,""))</f>
        <v>42409</v>
      </c>
      <c r="M38" s="3">
        <f>IF(DAY(FebSun1)=1,IF(AND(YEAR(FebSun1+3)=CalendarYear+1,MONTH(FebSun1+3)=2),FebSun1+3,""),IF(AND(YEAR(FebSun1+10)=CalendarYear+1,MONTH(FebSun1+10)=2),FebSun1+10,""))</f>
        <v>42410</v>
      </c>
      <c r="N38" s="3">
        <f>IF(DAY(FebSun1)=1,IF(AND(YEAR(FebSun1+4)=CalendarYear+1,MONTH(FebSun1+4)=2),FebSun1+4,""),IF(AND(YEAR(FebSun1+11)=CalendarYear+1,MONTH(FebSun1+11)=2),FebSun1+11,""))</f>
        <v>42411</v>
      </c>
      <c r="O38" s="3">
        <f>IF(DAY(FebSun1)=1,IF(AND(YEAR(FebSun1+5)=CalendarYear+1,MONTH(FebSun1+5)=2),FebSun1+5,""),IF(AND(YEAR(FebSun1+12)=CalendarYear+1,MONTH(FebSun1+12)=2),FebSun1+12,""))</f>
        <v>42412</v>
      </c>
      <c r="P38" s="3">
        <f>IF(DAY(FebSun1)=1,IF(AND(YEAR(FebSun1+6)=CalendarYear+1,MONTH(FebSun1+6)=2),FebSun1+6,""),IF(AND(YEAR(FebSun1+13)=CalendarYear+1,MONTH(FebSun1+13)=2),FebSun1+13,""))</f>
        <v>42413</v>
      </c>
      <c r="Q38" s="3">
        <f>IF(DAY(FebSun1)=1,IF(AND(YEAR(FebSun1+7)=CalendarYear+1,MONTH(FebSun1+7)=2),FebSun1+7,""),IF(AND(YEAR(FebSun1+14)=CalendarYear+1,MONTH(FebSun1+14)=2),FebSun1+14,""))</f>
        <v>42414</v>
      </c>
      <c r="R38" s="11"/>
      <c r="T38" s="3">
        <f>IF(DAY(MarSun1)=1,IF(AND(YEAR(MarSun1+1)=CalendarYear+1,MONTH(MarSun1+1)=3),MarSun1+1,""),IF(AND(YEAR(MarSun1+8)=CalendarYear+1,MONTH(MarSun1+8)=3),MarSun1+8,""))</f>
        <v>42436</v>
      </c>
      <c r="U38" s="3">
        <f>IF(DAY(MarSun1)=1,IF(AND(YEAR(MarSun1+2)=CalendarYear+1,MONTH(MarSun1+2)=3),MarSun1+2,""),IF(AND(YEAR(MarSun1+9)=CalendarYear+1,MONTH(MarSun1+9)=3),MarSun1+9,""))</f>
        <v>42437</v>
      </c>
      <c r="V38" s="3">
        <f>IF(DAY(MarSun1)=1,IF(AND(YEAR(MarSun1+3)=CalendarYear+1,MONTH(MarSun1+3)=3),MarSun1+3,""),IF(AND(YEAR(MarSun1+10)=CalendarYear+1,MONTH(MarSun1+10)=3),MarSun1+10,""))</f>
        <v>42438</v>
      </c>
      <c r="W38" s="3">
        <f>IF(DAY(MarSun1)=1,IF(AND(YEAR(MarSun1+4)=CalendarYear+1,MONTH(MarSun1+4)=3),MarSun1+4,""),IF(AND(YEAR(MarSun1+11)=CalendarYear+1,MONTH(MarSun1+11)=3),MarSun1+11,""))</f>
        <v>42439</v>
      </c>
      <c r="X38" s="3">
        <f>IF(DAY(MarSun1)=1,IF(AND(YEAR(MarSun1+5)=CalendarYear+1,MONTH(MarSun1+5)=3),MarSun1+5,""),IF(AND(YEAR(MarSun1+12)=CalendarYear+1,MONTH(MarSun1+12)=3),MarSun1+12,""))</f>
        <v>42440</v>
      </c>
      <c r="Y38" s="3">
        <f>IF(DAY(MarSun1)=1,IF(AND(YEAR(MarSun1+6)=CalendarYear+1,MONTH(MarSun1+6)=3),MarSun1+6,""),IF(AND(YEAR(MarSun1+13)=CalendarYear+1,MONTH(MarSun1+13)=3),MarSun1+13,""))</f>
        <v>42441</v>
      </c>
      <c r="Z38" s="3">
        <f>IF(DAY(MarSun1)=1,IF(AND(YEAR(MarSun1+7)=CalendarYear+1,MONTH(MarSun1+7)=3),MarSun1+7,""),IF(AND(YEAR(MarSun1+14)=CalendarYear+1,MONTH(MarSun1+14)=3),MarSun1+14,""))</f>
        <v>42442</v>
      </c>
      <c r="AA38" s="11"/>
      <c r="AB38" s="3"/>
      <c r="AC38" s="3">
        <f>IF(DAY(AprSun1)=1,IF(AND(YEAR(AprSun1+1)=CalendarYear+1,MONTH(AprSun1+1)=4),AprSun1+1,""),IF(AND(YEAR(AprSun1+8)=CalendarYear+1,MONTH(AprSun1+8)=4),AprSun1+8,""))</f>
        <v>42464</v>
      </c>
      <c r="AD38" s="3">
        <f>IF(DAY(AprSun1)=1,IF(AND(YEAR(AprSun1+2)=CalendarYear+1,MONTH(AprSun1+2)=4),AprSun1+2,""),IF(AND(YEAR(AprSun1+9)=CalendarYear+1,MONTH(AprSun1+9)=4),AprSun1+9,""))</f>
        <v>42465</v>
      </c>
      <c r="AE38" s="3">
        <f>IF(DAY(AprSun1)=1,IF(AND(YEAR(AprSun1+3)=CalendarYear+1,MONTH(AprSun1+3)=4),AprSun1+3,""),IF(AND(YEAR(AprSun1+10)=CalendarYear+1,MONTH(AprSun1+10)=4),AprSun1+10,""))</f>
        <v>42466</v>
      </c>
      <c r="AF38" s="3">
        <f>IF(DAY(AprSun1)=1,IF(AND(YEAR(AprSun1+4)=CalendarYear+1,MONTH(AprSun1+4)=4),AprSun1+4,""),IF(AND(YEAR(AprSun1+11)=CalendarYear+1,MONTH(AprSun1+11)=4),AprSun1+11,""))</f>
        <v>42467</v>
      </c>
      <c r="AG38" s="3">
        <f>IF(DAY(AprSun1)=1,IF(AND(YEAR(AprSun1+5)=CalendarYear+1,MONTH(AprSun1+5)=4),AprSun1+5,""),IF(AND(YEAR(AprSun1+12)=CalendarYear+1,MONTH(AprSun1+12)=4),AprSun1+12,""))</f>
        <v>42468</v>
      </c>
      <c r="AH38" s="3">
        <f>IF(DAY(AprSun1)=1,IF(AND(YEAR(AprSun1+6)=CalendarYear+1,MONTH(AprSun1+6)=4),AprSun1+6,""),IF(AND(YEAR(AprSun1+13)=CalendarYear+1,MONTH(AprSun1+13)=4),AprSun1+13,""))</f>
        <v>42469</v>
      </c>
      <c r="AI38" s="3">
        <f>IF(DAY(AprSun1)=1,IF(AND(YEAR(AprSun1+7)=CalendarYear+1,MONTH(AprSun1+7)=4),AprSun1+7,""),IF(AND(YEAR(AprSun1+14)=CalendarYear+1,MONTH(AprSun1+14)=4),AprSun1+14,""))</f>
        <v>42470</v>
      </c>
      <c r="AN38" s="34"/>
      <c r="AO38" s="42">
        <v>42450</v>
      </c>
      <c r="AP38" s="42"/>
      <c r="AQ38" s="43"/>
      <c r="AR38" s="44"/>
    </row>
    <row r="39" spans="2:44" ht="14.25" x14ac:dyDescent="0.2">
      <c r="B39" s="3">
        <f>IF(DAY(JanSun1)=1,IF(AND(YEAR(JanSun1+8)=CalendarYear+1,MONTH(JanSun1+8)=1),JanSun1+8,""),IF(AND(YEAR(JanSun1+15)=CalendarYear+1,MONTH(JanSun1+15)=1),JanSun1+15,""))</f>
        <v>42380</v>
      </c>
      <c r="C39" s="3">
        <f>IF(DAY(JanSun1)=1,IF(AND(YEAR(JanSun1+9)=CalendarYear+1,MONTH(JanSun1+9)=1),JanSun1+9,""),IF(AND(YEAR(JanSun1+16)=CalendarYear+1,MONTH(JanSun1+16)=1),JanSun1+16,""))</f>
        <v>42381</v>
      </c>
      <c r="D39" s="3">
        <f>IF(DAY(JanSun1)=1,IF(AND(YEAR(JanSun1+10)=CalendarYear+1,MONTH(JanSun1+10)=1),JanSun1+10,""),IF(AND(YEAR(JanSun1+17)=CalendarYear+1,MONTH(JanSun1+17)=1),JanSun1+17,""))</f>
        <v>42382</v>
      </c>
      <c r="E39" s="3">
        <f>IF(DAY(JanSun1)=1,IF(AND(YEAR(JanSun1+11)=CalendarYear+1,MONTH(JanSun1+11)=1),JanSun1+11,""),IF(AND(YEAR(JanSun1+18)=CalendarYear+1,MONTH(JanSun1+18)=1),JanSun1+18,""))</f>
        <v>42383</v>
      </c>
      <c r="F39" s="3">
        <f>IF(DAY(JanSun1)=1,IF(AND(YEAR(JanSun1+12)=CalendarYear+1,MONTH(JanSun1+12)=1),JanSun1+12,""),IF(AND(YEAR(JanSun1+19)=CalendarYear+1,MONTH(JanSun1+19)=1),JanSun1+19,""))</f>
        <v>42384</v>
      </c>
      <c r="G39" s="3">
        <f>IF(DAY(JanSun1)=1,IF(AND(YEAR(JanSun1+13)=CalendarYear+1,MONTH(JanSun1+13)=1),JanSun1+13,""),IF(AND(YEAR(JanSun1+20)=CalendarYear+1,MONTH(JanSun1+20)=1),JanSun1+20,""))</f>
        <v>42385</v>
      </c>
      <c r="H39" s="3">
        <f>IF(DAY(JanSun1)=1,IF(AND(YEAR(JanSun1+14)=CalendarYear+1,MONTH(JanSun1+14)=1),JanSun1+14,""),IF(AND(YEAR(JanSun1+21)=CalendarYear+1,MONTH(JanSun1+21)=1),JanSun1+21,""))</f>
        <v>42386</v>
      </c>
      <c r="I39" s="11"/>
      <c r="J39" s="3"/>
      <c r="K39" s="3">
        <f>IF(DAY(FebSun1)=1,IF(AND(YEAR(FebSun1+8)=CalendarYear+1,MONTH(FebSun1+8)=2),FebSun1+8,""),IF(AND(YEAR(FebSun1+15)=CalendarYear+1,MONTH(FebSun1+15)=2),FebSun1+15,""))</f>
        <v>42415</v>
      </c>
      <c r="L39" s="3">
        <f>IF(DAY(FebSun1)=1,IF(AND(YEAR(FebSun1+9)=CalendarYear+1,MONTH(FebSun1+9)=2),FebSun1+9,""),IF(AND(YEAR(FebSun1+16)=CalendarYear+1,MONTH(FebSun1+16)=2),FebSun1+16,""))</f>
        <v>42416</v>
      </c>
      <c r="M39" s="3">
        <f>IF(DAY(FebSun1)=1,IF(AND(YEAR(FebSun1+10)=CalendarYear+1,MONTH(FebSun1+10)=2),FebSun1+10,""),IF(AND(YEAR(FebSun1+17)=CalendarYear+1,MONTH(FebSun1+17)=2),FebSun1+17,""))</f>
        <v>42417</v>
      </c>
      <c r="N39" s="3">
        <f>IF(DAY(FebSun1)=1,IF(AND(YEAR(FebSun1+11)=CalendarYear+1,MONTH(FebSun1+11)=2),FebSun1+11,""),IF(AND(YEAR(FebSun1+18)=CalendarYear+1,MONTH(FebSun1+18)=2),FebSun1+18,""))</f>
        <v>42418</v>
      </c>
      <c r="O39" s="3">
        <f>IF(DAY(FebSun1)=1,IF(AND(YEAR(FebSun1+12)=CalendarYear+1,MONTH(FebSun1+12)=2),FebSun1+12,""),IF(AND(YEAR(FebSun1+19)=CalendarYear+1,MONTH(FebSun1+19)=2),FebSun1+19,""))</f>
        <v>42419</v>
      </c>
      <c r="P39" s="3">
        <f>IF(DAY(FebSun1)=1,IF(AND(YEAR(FebSun1+13)=CalendarYear+1,MONTH(FebSun1+13)=2),FebSun1+13,""),IF(AND(YEAR(FebSun1+20)=CalendarYear+1,MONTH(FebSun1+20)=2),FebSun1+20,""))</f>
        <v>42420</v>
      </c>
      <c r="Q39" s="3">
        <f>IF(DAY(FebSun1)=1,IF(AND(YEAR(FebSun1+14)=CalendarYear+1,MONTH(FebSun1+14)=2),FebSun1+14,""),IF(AND(YEAR(FebSun1+21)=CalendarYear+1,MONTH(FebSun1+21)=2),FebSun1+21,""))</f>
        <v>42421</v>
      </c>
      <c r="R39" s="11"/>
      <c r="T39" s="3">
        <f>IF(DAY(MarSun1)=1,IF(AND(YEAR(MarSun1+8)=CalendarYear+1,MONTH(MarSun1+8)=3),MarSun1+8,""),IF(AND(YEAR(MarSun1+15)=CalendarYear+1,MONTH(MarSun1+15)=3),MarSun1+15,""))</f>
        <v>42443</v>
      </c>
      <c r="U39" s="3">
        <f>IF(DAY(MarSun1)=1,IF(AND(YEAR(MarSun1+9)=CalendarYear+1,MONTH(MarSun1+9)=3),MarSun1+9,""),IF(AND(YEAR(MarSun1+16)=CalendarYear+1,MONTH(MarSun1+16)=3),MarSun1+16,""))</f>
        <v>42444</v>
      </c>
      <c r="V39" s="3">
        <f>IF(DAY(MarSun1)=1,IF(AND(YEAR(MarSun1+10)=CalendarYear+1,MONTH(MarSun1+10)=3),MarSun1+10,""),IF(AND(YEAR(MarSun1+17)=CalendarYear+1,MONTH(MarSun1+17)=3),MarSun1+17,""))</f>
        <v>42445</v>
      </c>
      <c r="W39" s="3">
        <f>IF(DAY(MarSun1)=1,IF(AND(YEAR(MarSun1+11)=CalendarYear+1,MONTH(MarSun1+11)=3),MarSun1+11,""),IF(AND(YEAR(MarSun1+18)=CalendarYear+1,MONTH(MarSun1+18)=3),MarSun1+18,""))</f>
        <v>42446</v>
      </c>
      <c r="X39" s="3">
        <f>IF(DAY(MarSun1)=1,IF(AND(YEAR(MarSun1+12)=CalendarYear+1,MONTH(MarSun1+12)=3),MarSun1+12,""),IF(AND(YEAR(MarSun1+19)=CalendarYear+1,MONTH(MarSun1+19)=3),MarSun1+19,""))</f>
        <v>42447</v>
      </c>
      <c r="Y39" s="3">
        <f>IF(DAY(MarSun1)=1,IF(AND(YEAR(MarSun1+13)=CalendarYear+1,MONTH(MarSun1+13)=3),MarSun1+13,""),IF(AND(YEAR(MarSun1+20)=CalendarYear+1,MONTH(MarSun1+20)=3),MarSun1+20,""))</f>
        <v>42448</v>
      </c>
      <c r="Z39" s="3">
        <f>IF(DAY(MarSun1)=1,IF(AND(YEAR(MarSun1+14)=CalendarYear+1,MONTH(MarSun1+14)=3),MarSun1+14,""),IF(AND(YEAR(MarSun1+21)=CalendarYear+1,MONTH(MarSun1+21)=3),MarSun1+21,""))</f>
        <v>42449</v>
      </c>
      <c r="AA39" s="11"/>
      <c r="AB39" s="3"/>
      <c r="AC39" s="3">
        <f>IF(DAY(AprSun1)=1,IF(AND(YEAR(AprSun1+8)=CalendarYear+1,MONTH(AprSun1+8)=4),AprSun1+8,""),IF(AND(YEAR(AprSun1+15)=CalendarYear+1,MONTH(AprSun1+15)=4),AprSun1+15,""))</f>
        <v>42471</v>
      </c>
      <c r="AD39" s="3">
        <f>IF(DAY(AprSun1)=1,IF(AND(YEAR(AprSun1+9)=CalendarYear+1,MONTH(AprSun1+9)=4),AprSun1+9,""),IF(AND(YEAR(AprSun1+16)=CalendarYear+1,MONTH(AprSun1+16)=4),AprSun1+16,""))</f>
        <v>42472</v>
      </c>
      <c r="AE39" s="3">
        <f>IF(DAY(AprSun1)=1,IF(AND(YEAR(AprSun1+10)=CalendarYear+1,MONTH(AprSun1+10)=4),AprSun1+10,""),IF(AND(YEAR(AprSun1+17)=CalendarYear+1,MONTH(AprSun1+17)=4),AprSun1+17,""))</f>
        <v>42473</v>
      </c>
      <c r="AF39" s="3">
        <f>IF(DAY(AprSun1)=1,IF(AND(YEAR(AprSun1+11)=CalendarYear+1,MONTH(AprSun1+11)=4),AprSun1+11,""),IF(AND(YEAR(AprSun1+18)=CalendarYear+1,MONTH(AprSun1+18)=4),AprSun1+18,""))</f>
        <v>42474</v>
      </c>
      <c r="AG39" s="3">
        <f>IF(DAY(AprSun1)=1,IF(AND(YEAR(AprSun1+12)=CalendarYear+1,MONTH(AprSun1+12)=4),AprSun1+12,""),IF(AND(YEAR(AprSun1+19)=CalendarYear+1,MONTH(AprSun1+19)=4),AprSun1+19,""))</f>
        <v>42475</v>
      </c>
      <c r="AH39" s="3">
        <f>IF(DAY(AprSun1)=1,IF(AND(YEAR(AprSun1+13)=CalendarYear+1,MONTH(AprSun1+13)=4),AprSun1+13,""),IF(AND(YEAR(AprSun1+20)=CalendarYear+1,MONTH(AprSun1+20)=4),AprSun1+20,""))</f>
        <v>42476</v>
      </c>
      <c r="AI39" s="3">
        <f>IF(DAY(AprSun1)=1,IF(AND(YEAR(AprSun1+14)=CalendarYear+1,MONTH(AprSun1+14)=4),AprSun1+14,""),IF(AND(YEAR(AprSun1+21)=CalendarYear+1,MONTH(AprSun1+21)=4),AprSun1+21,""))</f>
        <v>42477</v>
      </c>
      <c r="AO39" s="42">
        <v>42451</v>
      </c>
      <c r="AP39" s="24"/>
      <c r="AQ39" s="26"/>
      <c r="AR39" s="16"/>
    </row>
    <row r="40" spans="2:44" ht="14.25" x14ac:dyDescent="0.2">
      <c r="B40" s="3">
        <f>IF(DAY(JanSun1)=1,IF(AND(YEAR(JanSun1+15)=CalendarYear+1,MONTH(JanSun1+15)=1),JanSun1+15,""),IF(AND(YEAR(JanSun1+22)=CalendarYear+1,MONTH(JanSun1+22)=1),JanSun1+22,""))</f>
        <v>42387</v>
      </c>
      <c r="C40" s="3">
        <f>IF(DAY(JanSun1)=1,IF(AND(YEAR(JanSun1+16)=CalendarYear+1,MONTH(JanSun1+16)=1),JanSun1+16,""),IF(AND(YEAR(JanSun1+23)=CalendarYear+1,MONTH(JanSun1+23)=1),JanSun1+23,""))</f>
        <v>42388</v>
      </c>
      <c r="D40" s="3">
        <f>IF(DAY(JanSun1)=1,IF(AND(YEAR(JanSun1+17)=CalendarYear+1,MONTH(JanSun1+17)=1),JanSun1+17,""),IF(AND(YEAR(JanSun1+24)=CalendarYear+1,MONTH(JanSun1+24)=1),JanSun1+24,""))</f>
        <v>42389</v>
      </c>
      <c r="E40" s="3">
        <f>IF(DAY(JanSun1)=1,IF(AND(YEAR(JanSun1+18)=CalendarYear+1,MONTH(JanSun1+18)=1),JanSun1+18,""),IF(AND(YEAR(JanSun1+25)=CalendarYear+1,MONTH(JanSun1+25)=1),JanSun1+25,""))</f>
        <v>42390</v>
      </c>
      <c r="F40" s="3">
        <f>IF(DAY(JanSun1)=1,IF(AND(YEAR(JanSun1+19)=CalendarYear+1,MONTH(JanSun1+19)=1),JanSun1+19,""),IF(AND(YEAR(JanSun1+26)=CalendarYear+1,MONTH(JanSun1+26)=1),JanSun1+26,""))</f>
        <v>42391</v>
      </c>
      <c r="G40" s="3">
        <f>IF(DAY(JanSun1)=1,IF(AND(YEAR(JanSun1+20)=CalendarYear+1,MONTH(JanSun1+20)=1),JanSun1+20,""),IF(AND(YEAR(JanSun1+27)=CalendarYear+1,MONTH(JanSun1+27)=1),JanSun1+27,""))</f>
        <v>42392</v>
      </c>
      <c r="H40" s="3">
        <f>IF(DAY(JanSun1)=1,IF(AND(YEAR(JanSun1+21)=CalendarYear+1,MONTH(JanSun1+21)=1),JanSun1+21,""),IF(AND(YEAR(JanSun1+28)=CalendarYear+1,MONTH(JanSun1+28)=1),JanSun1+28,""))</f>
        <v>42393</v>
      </c>
      <c r="I40" s="11"/>
      <c r="J40" s="3"/>
      <c r="K40" s="3">
        <f>IF(DAY(FebSun1)=1,IF(AND(YEAR(FebSun1+15)=CalendarYear+1,MONTH(FebSun1+15)=2),FebSun1+15,""),IF(AND(YEAR(FebSun1+22)=CalendarYear+1,MONTH(FebSun1+22)=2),FebSun1+22,""))</f>
        <v>42422</v>
      </c>
      <c r="L40" s="3">
        <f>IF(DAY(FebSun1)=1,IF(AND(YEAR(FebSun1+16)=CalendarYear+1,MONTH(FebSun1+16)=2),FebSun1+16,""),IF(AND(YEAR(FebSun1+23)=CalendarYear+1,MONTH(FebSun1+23)=2),FebSun1+23,""))</f>
        <v>42423</v>
      </c>
      <c r="M40" s="3">
        <f>IF(DAY(FebSun1)=1,IF(AND(YEAR(FebSun1+17)=CalendarYear+1,MONTH(FebSun1+17)=2),FebSun1+17,""),IF(AND(YEAR(FebSun1+24)=CalendarYear+1,MONTH(FebSun1+24)=2),FebSun1+24,""))</f>
        <v>42424</v>
      </c>
      <c r="N40" s="3">
        <f>IF(DAY(FebSun1)=1,IF(AND(YEAR(FebSun1+18)=CalendarYear+1,MONTH(FebSun1+18)=2),FebSun1+18,""),IF(AND(YEAR(FebSun1+25)=CalendarYear+1,MONTH(FebSun1+25)=2),FebSun1+25,""))</f>
        <v>42425</v>
      </c>
      <c r="O40" s="3">
        <f>IF(DAY(FebSun1)=1,IF(AND(YEAR(FebSun1+19)=CalendarYear+1,MONTH(FebSun1+19)=2),FebSun1+19,""),IF(AND(YEAR(FebSun1+26)=CalendarYear+1,MONTH(FebSun1+26)=2),FebSun1+26,""))</f>
        <v>42426</v>
      </c>
      <c r="P40" s="3">
        <f>IF(DAY(FebSun1)=1,IF(AND(YEAR(FebSun1+20)=CalendarYear+1,MONTH(FebSun1+20)=2),FebSun1+20,""),IF(AND(YEAR(FebSun1+27)=CalendarYear+1,MONTH(FebSun1+27)=2),FebSun1+27,""))</f>
        <v>42427</v>
      </c>
      <c r="Q40" s="3">
        <f>IF(DAY(FebSun1)=1,IF(AND(YEAR(FebSun1+21)=CalendarYear+1,MONTH(FebSun1+21)=2),FebSun1+21,""),IF(AND(YEAR(FebSun1+28)=CalendarYear+1,MONTH(FebSun1+28)=2),FebSun1+28,""))</f>
        <v>42428</v>
      </c>
      <c r="R40" s="11"/>
      <c r="T40" s="3">
        <f>IF(DAY(MarSun1)=1,IF(AND(YEAR(MarSun1+15)=CalendarYear+1,MONTH(MarSun1+15)=3),MarSun1+15,""),IF(AND(YEAR(MarSun1+22)=CalendarYear+1,MONTH(MarSun1+22)=3),MarSun1+22,""))</f>
        <v>42450</v>
      </c>
      <c r="U40" s="3">
        <f>IF(DAY(MarSun1)=1,IF(AND(YEAR(MarSun1+16)=CalendarYear+1,MONTH(MarSun1+16)=3),MarSun1+16,""),IF(AND(YEAR(MarSun1+23)=CalendarYear+1,MONTH(MarSun1+23)=3),MarSun1+23,""))</f>
        <v>42451</v>
      </c>
      <c r="V40" s="3">
        <f>IF(DAY(MarSun1)=1,IF(AND(YEAR(MarSun1+17)=CalendarYear+1,MONTH(MarSun1+17)=3),MarSun1+17,""),IF(AND(YEAR(MarSun1+24)=CalendarYear+1,MONTH(MarSun1+24)=3),MarSun1+24,""))</f>
        <v>42452</v>
      </c>
      <c r="W40" s="3">
        <f>IF(DAY(MarSun1)=1,IF(AND(YEAR(MarSun1+18)=CalendarYear+1,MONTH(MarSun1+18)=3),MarSun1+18,""),IF(AND(YEAR(MarSun1+25)=CalendarYear+1,MONTH(MarSun1+25)=3),MarSun1+25,""))</f>
        <v>42453</v>
      </c>
      <c r="X40" s="3">
        <f>IF(DAY(MarSun1)=1,IF(AND(YEAR(MarSun1+19)=CalendarYear+1,MONTH(MarSun1+19)=3),MarSun1+19,""),IF(AND(YEAR(MarSun1+26)=CalendarYear+1,MONTH(MarSun1+26)=3),MarSun1+26,""))</f>
        <v>42454</v>
      </c>
      <c r="Y40" s="3">
        <f>IF(DAY(MarSun1)=1,IF(AND(YEAR(MarSun1+20)=CalendarYear+1,MONTH(MarSun1+20)=3),MarSun1+20,""),IF(AND(YEAR(MarSun1+27)=CalendarYear+1,MONTH(MarSun1+27)=3),MarSun1+27,""))</f>
        <v>42455</v>
      </c>
      <c r="Z40" s="3">
        <f>IF(DAY(MarSun1)=1,IF(AND(YEAR(MarSun1+21)=CalendarYear+1,MONTH(MarSun1+21)=3),MarSun1+21,""),IF(AND(YEAR(MarSun1+28)=CalendarYear+1,MONTH(MarSun1+28)=3),MarSun1+28,""))</f>
        <v>42456</v>
      </c>
      <c r="AA40" s="11"/>
      <c r="AB40" s="3"/>
      <c r="AC40" s="3">
        <f>IF(DAY(AprSun1)=1,IF(AND(YEAR(AprSun1+15)=CalendarYear+1,MONTH(AprSun1+15)=4),AprSun1+15,""),IF(AND(YEAR(AprSun1+22)=CalendarYear+1,MONTH(AprSun1+22)=4),AprSun1+22,""))</f>
        <v>42478</v>
      </c>
      <c r="AD40" s="3">
        <f>IF(DAY(AprSun1)=1,IF(AND(YEAR(AprSun1+16)=CalendarYear+1,MONTH(AprSun1+16)=4),AprSun1+16,""),IF(AND(YEAR(AprSun1+23)=CalendarYear+1,MONTH(AprSun1+23)=4),AprSun1+23,""))</f>
        <v>42479</v>
      </c>
      <c r="AE40" s="3">
        <f>IF(DAY(AprSun1)=1,IF(AND(YEAR(AprSun1+17)=CalendarYear+1,MONTH(AprSun1+17)=4),AprSun1+17,""),IF(AND(YEAR(AprSun1+24)=CalendarYear+1,MONTH(AprSun1+24)=4),AprSun1+24,""))</f>
        <v>42480</v>
      </c>
      <c r="AF40" s="3">
        <f>IF(DAY(AprSun1)=1,IF(AND(YEAR(AprSun1+18)=CalendarYear+1,MONTH(AprSun1+18)=4),AprSun1+18,""),IF(AND(YEAR(AprSun1+25)=CalendarYear+1,MONTH(AprSun1+25)=4),AprSun1+25,""))</f>
        <v>42481</v>
      </c>
      <c r="AG40" s="3">
        <f>IF(DAY(AprSun1)=1,IF(AND(YEAR(AprSun1+19)=CalendarYear+1,MONTH(AprSun1+19)=4),AprSun1+19,""),IF(AND(YEAR(AprSun1+26)=CalendarYear+1,MONTH(AprSun1+26)=4),AprSun1+26,""))</f>
        <v>42482</v>
      </c>
      <c r="AH40" s="3">
        <f>IF(DAY(AprSun1)=1,IF(AND(YEAR(AprSun1+20)=CalendarYear+1,MONTH(AprSun1+20)=4),AprSun1+20,""),IF(AND(YEAR(AprSun1+27)=CalendarYear+1,MONTH(AprSun1+27)=4),AprSun1+27,""))</f>
        <v>42483</v>
      </c>
      <c r="AI40" s="3">
        <f>IF(DAY(AprSun1)=1,IF(AND(YEAR(AprSun1+21)=CalendarYear+1,MONTH(AprSun1+21)=4),AprSun1+21,""),IF(AND(YEAR(AprSun1+28)=CalendarYear+1,MONTH(AprSun1+28)=4),AprSun1+28,""))</f>
        <v>42484</v>
      </c>
      <c r="AO40" s="42">
        <v>42452</v>
      </c>
      <c r="AP40" s="42"/>
      <c r="AQ40" s="43"/>
      <c r="AR40" s="44"/>
    </row>
    <row r="41" spans="2:44" ht="14.25" x14ac:dyDescent="0.2">
      <c r="B41" s="3">
        <f>IF(DAY(JanSun1)=1,IF(AND(YEAR(JanSun1+22)=CalendarYear+1,MONTH(JanSun1+22)=1),JanSun1+22,""),IF(AND(YEAR(JanSun1+29)=CalendarYear+1,MONTH(JanSun1+29)=1),JanSun1+29,""))</f>
        <v>42394</v>
      </c>
      <c r="C41" s="3">
        <f>IF(DAY(JanSun1)=1,IF(AND(YEAR(JanSun1+23)=CalendarYear+1,MONTH(JanSun1+23)=1),JanSun1+23,""),IF(AND(YEAR(JanSun1+30)=CalendarYear+1,MONTH(JanSun1+30)=1),JanSun1+30,""))</f>
        <v>42395</v>
      </c>
      <c r="D41" s="3">
        <f>IF(DAY(JanSun1)=1,IF(AND(YEAR(JanSun1+24)=CalendarYear+1,MONTH(JanSun1+24)=1),JanSun1+24,""),IF(AND(YEAR(JanSun1+31)=CalendarYear+1,MONTH(JanSun1+31)=1),JanSun1+31,""))</f>
        <v>42396</v>
      </c>
      <c r="E41" s="3">
        <f>IF(DAY(JanSun1)=1,IF(AND(YEAR(JanSun1+25)=CalendarYear+1,MONTH(JanSun1+25)=1),JanSun1+25,""),IF(AND(YEAR(JanSun1+32)=CalendarYear+1,MONTH(JanSun1+32)=1),JanSun1+32,""))</f>
        <v>42397</v>
      </c>
      <c r="F41" s="3">
        <f>IF(DAY(JanSun1)=1,IF(AND(YEAR(JanSun1+26)=CalendarYear+1,MONTH(JanSun1+26)=1),JanSun1+26,""),IF(AND(YEAR(JanSun1+33)=CalendarYear+1,MONTH(JanSun1+33)=1),JanSun1+33,""))</f>
        <v>42398</v>
      </c>
      <c r="G41" s="3">
        <f>IF(DAY(JanSun1)=1,IF(AND(YEAR(JanSun1+27)=CalendarYear+1,MONTH(JanSun1+27)=1),JanSun1+27,""),IF(AND(YEAR(JanSun1+34)=CalendarYear+1,MONTH(JanSun1+34)=1),JanSun1+34,""))</f>
        <v>42399</v>
      </c>
      <c r="H41" s="3">
        <f>IF(DAY(JanSun1)=1,IF(AND(YEAR(JanSun1+28)=CalendarYear+1,MONTH(JanSun1+28)=1),JanSun1+28,""),IF(AND(YEAR(JanSun1+35)=CalendarYear+1,MONTH(JanSun1+35)=1),JanSun1+35,""))</f>
        <v>42400</v>
      </c>
      <c r="I41" s="11"/>
      <c r="J41" s="3"/>
      <c r="K41" s="3">
        <f>IF(DAY(FebSun1)=1,IF(AND(YEAR(FebSun1+22)=CalendarYear+1,MONTH(FebSun1+22)=2),FebSun1+22,""),IF(AND(YEAR(FebSun1+29)=CalendarYear+1,MONTH(FebSun1+29)=2),FebSun1+29,""))</f>
        <v>42429</v>
      </c>
      <c r="L41" s="3" t="str">
        <f>IF(DAY(FebSun1)=1,IF(AND(YEAR(FebSun1+23)=CalendarYear+1,MONTH(FebSun1+23)=2),FebSun1+23,""),IF(AND(YEAR(FebSun1+30)=CalendarYear+1,MONTH(FebSun1+30)=2),FebSun1+30,""))</f>
        <v/>
      </c>
      <c r="M41" s="3" t="str">
        <f>IF(DAY(FebSun1)=1,IF(AND(YEAR(FebSun1+24)=CalendarYear+1,MONTH(FebSun1+24)=2),FebSun1+24,""),IF(AND(YEAR(FebSun1+31)=CalendarYear+1,MONTH(FebSun1+31)=2),FebSun1+31,""))</f>
        <v/>
      </c>
      <c r="N41" s="3" t="str">
        <f>IF(DAY(FebSun1)=1,IF(AND(YEAR(FebSun1+25)=CalendarYear+1,MONTH(FebSun1+25)=2),FebSun1+25,""),IF(AND(YEAR(FebSun1+32)=CalendarYear+1,MONTH(FebSun1+32)=2),FebSun1+32,""))</f>
        <v/>
      </c>
      <c r="O41" s="3" t="str">
        <f>IF(DAY(FebSun1)=1,IF(AND(YEAR(FebSun1+26)=CalendarYear+1,MONTH(FebSun1+26)=2),FebSun1+26,""),IF(AND(YEAR(FebSun1+33)=CalendarYear+1,MONTH(FebSun1+33)=2),FebSun1+33,""))</f>
        <v/>
      </c>
      <c r="P41" s="3" t="str">
        <f>IF(DAY(FebSun1)=1,IF(AND(YEAR(FebSun1+27)=CalendarYear+1,MONTH(FebSun1+27)=2),FebSun1+27,""),IF(AND(YEAR(FebSun1+34)=CalendarYear+1,MONTH(FebSun1+34)=2),FebSun1+34,""))</f>
        <v/>
      </c>
      <c r="Q41" s="3" t="str">
        <f>IF(DAY(FebSun1)=1,IF(AND(YEAR(FebSun1+28)=CalendarYear+1,MONTH(FebSun1+28)=2),FebSun1+28,""),IF(AND(YEAR(FebSun1+35)=CalendarYear+1,MONTH(FebSun1+35)=2),FebSun1+35,""))</f>
        <v/>
      </c>
      <c r="R41" s="11"/>
      <c r="T41" s="3">
        <f>IF(DAY(MarSun1)=1,IF(AND(YEAR(MarSun1+22)=CalendarYear+1,MONTH(MarSun1+22)=3),MarSun1+22,""),IF(AND(YEAR(MarSun1+29)=CalendarYear+1,MONTH(MarSun1+29)=3),MarSun1+29,""))</f>
        <v>42457</v>
      </c>
      <c r="U41" s="3">
        <f>IF(DAY(MarSun1)=1,IF(AND(YEAR(MarSun1+23)=CalendarYear+1,MONTH(MarSun1+23)=3),MarSun1+23,""),IF(AND(YEAR(MarSun1+30)=CalendarYear+1,MONTH(MarSun1+30)=3),MarSun1+30,""))</f>
        <v>42458</v>
      </c>
      <c r="V41" s="3">
        <f>IF(DAY(MarSun1)=1,IF(AND(YEAR(MarSun1+24)=CalendarYear+1,MONTH(MarSun1+24)=3),MarSun1+24,""),IF(AND(YEAR(MarSun1+31)=CalendarYear+1,MONTH(MarSun1+31)=3),MarSun1+31,""))</f>
        <v>42459</v>
      </c>
      <c r="W41" s="3">
        <f>IF(DAY(MarSun1)=1,IF(AND(YEAR(MarSun1+25)=CalendarYear+1,MONTH(MarSun1+25)=3),MarSun1+25,""),IF(AND(YEAR(MarSun1+32)=CalendarYear+1,MONTH(MarSun1+32)=3),MarSun1+32,""))</f>
        <v>42460</v>
      </c>
      <c r="X41" s="3" t="str">
        <f>IF(DAY(MarSun1)=1,IF(AND(YEAR(MarSun1+26)=CalendarYear+1,MONTH(MarSun1+26)=3),MarSun1+26,""),IF(AND(YEAR(MarSun1+33)=CalendarYear+1,MONTH(MarSun1+33)=3),MarSun1+33,""))</f>
        <v/>
      </c>
      <c r="Y41" s="3" t="str">
        <f>IF(DAY(MarSun1)=1,IF(AND(YEAR(MarSun1+27)=CalendarYear+1,MONTH(MarSun1+27)=3),MarSun1+27,""),IF(AND(YEAR(MarSun1+34)=CalendarYear+1,MONTH(MarSun1+34)=3),MarSun1+34,""))</f>
        <v/>
      </c>
      <c r="Z41" s="3" t="str">
        <f>IF(DAY(MarSun1)=1,IF(AND(YEAR(MarSun1+28)=CalendarYear+1,MONTH(MarSun1+28)=3),MarSun1+28,""),IF(AND(YEAR(MarSun1+35)=CalendarYear+1,MONTH(MarSun1+35)=3),MarSun1+35,""))</f>
        <v/>
      </c>
      <c r="AA41" s="11"/>
      <c r="AB41" s="3"/>
      <c r="AC41" s="3">
        <f>IF(DAY(AprSun1)=1,IF(AND(YEAR(AprSun1+22)=CalendarYear+1,MONTH(AprSun1+22)=4),AprSun1+22,""),IF(AND(YEAR(AprSun1+29)=CalendarYear+1,MONTH(AprSun1+29)=4),AprSun1+29,""))</f>
        <v>42485</v>
      </c>
      <c r="AD41" s="3">
        <f>IF(DAY(AprSun1)=1,IF(AND(YEAR(AprSun1+23)=CalendarYear+1,MONTH(AprSun1+23)=4),AprSun1+23,""),IF(AND(YEAR(AprSun1+30)=CalendarYear+1,MONTH(AprSun1+30)=4),AprSun1+30,""))</f>
        <v>42486</v>
      </c>
      <c r="AE41" s="3">
        <f>IF(DAY(AprSun1)=1,IF(AND(YEAR(AprSun1+24)=CalendarYear+1,MONTH(AprSun1+24)=4),AprSun1+24,""),IF(AND(YEAR(AprSun1+31)=CalendarYear+1,MONTH(AprSun1+31)=4),AprSun1+31,""))</f>
        <v>42487</v>
      </c>
      <c r="AF41" s="3">
        <f>IF(DAY(AprSun1)=1,IF(AND(YEAR(AprSun1+25)=CalendarYear+1,MONTH(AprSun1+25)=4),AprSun1+25,""),IF(AND(YEAR(AprSun1+32)=CalendarYear+1,MONTH(AprSun1+32)=4),AprSun1+32,""))</f>
        <v>42488</v>
      </c>
      <c r="AG41" s="3">
        <f>IF(DAY(AprSun1)=1,IF(AND(YEAR(AprSun1+26)=CalendarYear+1,MONTH(AprSun1+26)=4),AprSun1+26,""),IF(AND(YEAR(AprSun1+33)=CalendarYear+1,MONTH(AprSun1+33)=4),AprSun1+33,""))</f>
        <v>42489</v>
      </c>
      <c r="AH41" s="3">
        <f>IF(DAY(AprSun1)=1,IF(AND(YEAR(AprSun1+27)=CalendarYear+1,MONTH(AprSun1+27)=4),AprSun1+27,""),IF(AND(YEAR(AprSun1+34)=CalendarYear+1,MONTH(AprSun1+34)=4),AprSun1+34,""))</f>
        <v>42490</v>
      </c>
      <c r="AI41" s="3" t="str">
        <f>IF(DAY(AprSun1)=1,IF(AND(YEAR(AprSun1+28)=CalendarYear+1,MONTH(AprSun1+28)=4),AprSun1+28,""),IF(AND(YEAR(AprSun1+35)=CalendarYear+1,MONTH(AprSun1+35)=4),AprSun1+35,""))</f>
        <v/>
      </c>
      <c r="AO41" s="42">
        <v>42453</v>
      </c>
      <c r="AP41" s="24"/>
      <c r="AQ41" s="26"/>
      <c r="AR41" s="16"/>
    </row>
    <row r="42" spans="2:44" ht="14.25" x14ac:dyDescent="0.2">
      <c r="B42" s="3" t="str">
        <f>IF(DAY(JanSun1)=1,IF(AND(YEAR(JanSun1+29)=CalendarYear+1,MONTH(JanSun1+29)=1),JanSun1+29,""),IF(AND(YEAR(JanSun1+36)=CalendarYear+1,MONTH(JanSun1+36)=1),JanSun1+36,""))</f>
        <v/>
      </c>
      <c r="C42" s="3" t="str">
        <f>IF(DAY(JanSun1)=1,IF(AND(YEAR(JanSun1+30)=CalendarYear+1,MONTH(JanSun1+30)=1),JanSun1+30,""),IF(AND(YEAR(JanSun1+37)=CalendarYear+1,MONTH(JanSun1+37)=1),JanSun1+37,""))</f>
        <v/>
      </c>
      <c r="D42" s="3" t="str">
        <f>IF(DAY(JanSun1)=1,IF(AND(YEAR(JanSun1+31)=CalendarYear+1,MONTH(JanSun1+31)=1),JanSun1+31,""),IF(AND(YEAR(JanSun1+38)=CalendarYear+1,MONTH(JanSun1+38)=1),JanSun1+38,""))</f>
        <v/>
      </c>
      <c r="E42" s="3" t="str">
        <f>IF(DAY(JanSun1)=1,IF(AND(YEAR(JanSun1+32)=CalendarYear+1,MONTH(JanSun1+32)=1),JanSun1+32,""),IF(AND(YEAR(JanSun1+39)=CalendarYear+1,MONTH(JanSun1+39)=1),JanSun1+39,""))</f>
        <v/>
      </c>
      <c r="F42" s="3" t="str">
        <f>IF(DAY(JanSun1)=1,IF(AND(YEAR(JanSun1+33)=CalendarYear+1,MONTH(JanSun1+33)=1),JanSun1+33,""),IF(AND(YEAR(JanSun1+40)=CalendarYear+1,MONTH(JanSun1+40)=1),JanSun1+40,""))</f>
        <v/>
      </c>
      <c r="G42" s="3" t="str">
        <f>IF(DAY(JanSun1)=1,IF(AND(YEAR(JanSun1+34)=CalendarYear+1,MONTH(JanSun1+34)=1),JanSun1+34,""),IF(AND(YEAR(JanSun1+41)=CalendarYear+1,MONTH(JanSun1+41)=1),JanSun1+41,""))</f>
        <v/>
      </c>
      <c r="H42" s="3" t="str">
        <f>IF(DAY(JanSun1)=1,IF(AND(YEAR(JanSun1+35)=CalendarYear+1,MONTH(JanSun1+35)=1),JanSun1+35,""),IF(AND(YEAR(JanSun1+42)=CalendarYear+1,MONTH(JanSun1+42)=1),JanSun1+42,""))</f>
        <v/>
      </c>
      <c r="I42" s="11"/>
      <c r="J42" s="3"/>
      <c r="K42" s="3" t="str">
        <f>IF(DAY(FebSun1)=1,IF(AND(YEAR(FebSun1+29)=CalendarYear+1,MONTH(FebSun1+29)=2),FebSun1+29,""),IF(AND(YEAR(FebSun1+36)=CalendarYear+1,MONTH(FebSun1+36)=2),FebSun1+36,""))</f>
        <v/>
      </c>
      <c r="L42" s="3" t="str">
        <f>IF(DAY(FebSun1)=1,IF(AND(YEAR(FebSun1+30)=CalendarYear+1,MONTH(FebSun1+30)=2),FebSun1+30,""),IF(AND(YEAR(FebSun1+37)=CalendarYear+1,MONTH(FebSun1+37)=2),FebSun1+37,""))</f>
        <v/>
      </c>
      <c r="M42" s="3" t="str">
        <f>IF(DAY(FebSun1)=1,IF(AND(YEAR(FebSun1+31)=CalendarYear+1,MONTH(FebSun1+31)=2),FebSun1+31,""),IF(AND(YEAR(FebSun1+38)=CalendarYear+1,MONTH(FebSun1+38)=2),FebSun1+38,""))</f>
        <v/>
      </c>
      <c r="N42" s="3" t="str">
        <f>IF(DAY(FebSun1)=1,IF(AND(YEAR(FebSun1+32)=CalendarYear+1,MONTH(FebSun1+32)=2),FebSun1+32,""),IF(AND(YEAR(FebSun1+39)=CalendarYear+1,MONTH(FebSun1+39)=2),FebSun1+39,""))</f>
        <v/>
      </c>
      <c r="O42" s="3" t="str">
        <f>IF(DAY(FebSun1)=1,IF(AND(YEAR(FebSun1+33)=CalendarYear+1,MONTH(FebSun1+33)=2),FebSun1+33,""),IF(AND(YEAR(FebSun1+40)=CalendarYear+1,MONTH(FebSun1+40)=2),FebSun1+40,""))</f>
        <v/>
      </c>
      <c r="P42" s="3" t="str">
        <f>IF(DAY(FebSun1)=1,IF(AND(YEAR(FebSun1+34)=CalendarYear+1,MONTH(FebSun1+34)=2),FebSun1+34,""),IF(AND(YEAR(FebSun1+41)=CalendarYear+1,MONTH(FebSun1+41)=2),FebSun1+41,""))</f>
        <v/>
      </c>
      <c r="Q42" s="3" t="str">
        <f>IF(DAY(FebSun1)=1,IF(AND(YEAR(FebSun1+35)=CalendarYear+1,MONTH(FebSun1+35)=2),FebSun1+35,""),IF(AND(YEAR(FebSun1+42)=CalendarYear+1,MONTH(FebSun1+42)=2),FebSun1+42,""))</f>
        <v/>
      </c>
      <c r="R42" s="11"/>
      <c r="T42" s="3" t="str">
        <f>IF(DAY(MarSun1)=1,IF(AND(YEAR(MarSun1+29)=CalendarYear+1,MONTH(MarSun1+29)=3),MarSun1+29,""),IF(AND(YEAR(MarSun1+36)=CalendarYear+1,MONTH(MarSun1+36)=3),MarSun1+36,""))</f>
        <v/>
      </c>
      <c r="U42" s="3" t="str">
        <f>IF(DAY(MarSun1)=1,IF(AND(YEAR(MarSun1+30)=CalendarYear+1,MONTH(MarSun1+30)=3),MarSun1+30,""),IF(AND(YEAR(MarSun1+37)=CalendarYear+1,MONTH(MarSun1+37)=3),MarSun1+37,""))</f>
        <v/>
      </c>
      <c r="V42" s="3" t="str">
        <f>IF(DAY(MarSun1)=1,IF(AND(YEAR(MarSun1+31)=CalendarYear+1,MONTH(MarSun1+31)=3),MarSun1+31,""),IF(AND(YEAR(MarSun1+38)=CalendarYear+1,MONTH(MarSun1+38)=3),MarSun1+38,""))</f>
        <v/>
      </c>
      <c r="W42" s="3" t="str">
        <f>IF(DAY(MarSun1)=1,IF(AND(YEAR(MarSun1+32)=CalendarYear+1,MONTH(MarSun1+32)=3),MarSun1+32,""),IF(AND(YEAR(MarSun1+39)=CalendarYear+1,MONTH(MarSun1+39)=3),MarSun1+39,""))</f>
        <v/>
      </c>
      <c r="X42" s="3" t="str">
        <f>IF(DAY(MarSun1)=1,IF(AND(YEAR(MarSun1+33)=CalendarYear+1,MONTH(MarSun1+33)=3),MarSun1+33,""),IF(AND(YEAR(MarSun1+40)=CalendarYear+1,MONTH(MarSun1+40)=3),MarSun1+40,""))</f>
        <v/>
      </c>
      <c r="Y42" s="3" t="str">
        <f>IF(DAY(MarSun1)=1,IF(AND(YEAR(MarSun1+34)=CalendarYear+1,MONTH(MarSun1+34)=3),MarSun1+34,""),IF(AND(YEAR(MarSun1+41)=CalendarYear+1,MONTH(MarSun1+41)=3),MarSun1+41,""))</f>
        <v/>
      </c>
      <c r="Z42" s="3" t="str">
        <f>IF(DAY(MarSun1)=1,IF(AND(YEAR(MarSun1+35)=CalendarYear+1,MONTH(MarSun1+35)=3),MarSun1+35,""),IF(AND(YEAR(MarSun1+42)=CalendarYear+1,MONTH(MarSun1+42)=3),MarSun1+42,""))</f>
        <v/>
      </c>
      <c r="AA42" s="11"/>
      <c r="AB42" s="3"/>
      <c r="AC42" s="3" t="str">
        <f>IF(DAY(AprSun1)=1,IF(AND(YEAR(AprSun1+29)=CalendarYear+1,MONTH(AprSun1+29)=4),AprSun1+29,""),IF(AND(YEAR(AprSun1+36)=CalendarYear+1,MONTH(AprSun1+36)=4),AprSun1+36,""))</f>
        <v/>
      </c>
      <c r="AD42" s="3" t="str">
        <f>IF(DAY(AprSun1)=1,IF(AND(YEAR(AprSun1+30)=CalendarYear+1,MONTH(AprSun1+30)=4),AprSun1+30,""),IF(AND(YEAR(AprSun1+37)=CalendarYear+1,MONTH(AprSun1+37)=4),AprSun1+37,""))</f>
        <v/>
      </c>
      <c r="AE42" s="3" t="str">
        <f>IF(DAY(AprSun1)=1,IF(AND(YEAR(AprSun1+31)=CalendarYear+1,MONTH(AprSun1+31)=4),AprSun1+31,""),IF(AND(YEAR(AprSun1+38)=CalendarYear+1,MONTH(AprSun1+38)=4),AprSun1+38,""))</f>
        <v/>
      </c>
      <c r="AF42" s="3" t="str">
        <f>IF(DAY(AprSun1)=1,IF(AND(YEAR(AprSun1+32)=CalendarYear+1,MONTH(AprSun1+32)=4),AprSun1+32,""),IF(AND(YEAR(AprSun1+39)=CalendarYear+1,MONTH(AprSun1+39)=4),AprSun1+39,""))</f>
        <v/>
      </c>
      <c r="AG42" s="3" t="str">
        <f>IF(DAY(AprSun1)=1,IF(AND(YEAR(AprSun1+33)=CalendarYear+1,MONTH(AprSun1+33)=4),AprSun1+33,""),IF(AND(YEAR(AprSun1+40)=CalendarYear+1,MONTH(AprSun1+40)=4),AprSun1+40,""))</f>
        <v/>
      </c>
      <c r="AH42" s="3" t="str">
        <f>IF(DAY(AprSun1)=1,IF(AND(YEAR(AprSun1+34)=CalendarYear+1,MONTH(AprSun1+34)=4),AprSun1+34,""),IF(AND(YEAR(AprSun1+41)=CalendarYear+1,MONTH(AprSun1+41)=4),AprSun1+41,""))</f>
        <v/>
      </c>
      <c r="AI42" s="3" t="str">
        <f>IF(DAY(AprSun1)=1,IF(AND(YEAR(AprSun1+35)=CalendarYear+1,MONTH(AprSun1+35)=4),AprSun1+35,""),IF(AND(YEAR(AprSun1+42)=CalendarYear+1,MONTH(AprSun1+42)=4),AprSun1+42,""))</f>
        <v/>
      </c>
      <c r="AO42" s="42">
        <v>42454</v>
      </c>
      <c r="AP42" s="42"/>
      <c r="AQ42" s="43"/>
      <c r="AR42" s="44"/>
    </row>
    <row r="43" spans="2:44" ht="14.25" x14ac:dyDescent="0.2">
      <c r="B43" s="3"/>
      <c r="C43" s="3"/>
      <c r="D43" s="3"/>
      <c r="E43" s="3"/>
      <c r="F43" s="3"/>
      <c r="G43" s="3"/>
      <c r="H43" s="3"/>
      <c r="I43" s="11"/>
      <c r="J43" s="3"/>
      <c r="K43" s="3"/>
      <c r="L43" s="3"/>
      <c r="M43" s="3"/>
      <c r="N43" s="3"/>
      <c r="O43" s="3"/>
      <c r="P43" s="3"/>
      <c r="Q43" s="3"/>
      <c r="R43" s="11"/>
      <c r="AA43" s="13"/>
      <c r="AO43" s="42">
        <v>42455</v>
      </c>
      <c r="AP43" s="24"/>
      <c r="AQ43" s="26"/>
      <c r="AR43" s="16"/>
    </row>
    <row r="44" spans="2:44" ht="15.75" x14ac:dyDescent="0.25">
      <c r="B44" s="64">
        <f>DATE(CalendarYear+1,5,1)</f>
        <v>42491</v>
      </c>
      <c r="C44" s="64"/>
      <c r="D44" s="64"/>
      <c r="E44" s="64"/>
      <c r="F44" s="64"/>
      <c r="G44" s="64"/>
      <c r="H44" s="64"/>
      <c r="I44" s="9"/>
      <c r="J44" s="3"/>
      <c r="K44" s="64">
        <f>DATE(CalendarYear+1,6,1)</f>
        <v>42522</v>
      </c>
      <c r="L44" s="64"/>
      <c r="M44" s="64"/>
      <c r="N44" s="64"/>
      <c r="O44" s="64"/>
      <c r="P44" s="64"/>
      <c r="Q44" s="64"/>
      <c r="R44" s="9"/>
      <c r="T44" s="64">
        <f>DATE(CalendarYear+1,7,1)</f>
        <v>42552</v>
      </c>
      <c r="U44" s="64"/>
      <c r="V44" s="64"/>
      <c r="W44" s="64"/>
      <c r="X44" s="64"/>
      <c r="Y44" s="64"/>
      <c r="Z44" s="64"/>
      <c r="AA44" s="9"/>
      <c r="AB44" s="3"/>
      <c r="AC44" s="64">
        <f>DATE(CalendarYear+1,8,1)</f>
        <v>42583</v>
      </c>
      <c r="AD44" s="64"/>
      <c r="AE44" s="64"/>
      <c r="AF44" s="64"/>
      <c r="AG44" s="64"/>
      <c r="AH44" s="64"/>
      <c r="AI44" s="64"/>
      <c r="AO44" s="42">
        <v>42456</v>
      </c>
      <c r="AP44" s="42"/>
      <c r="AQ44" s="43"/>
      <c r="AR44" s="44"/>
    </row>
    <row r="45" spans="2:44" ht="15" x14ac:dyDescent="0.25">
      <c r="B45" s="8" t="s">
        <v>1</v>
      </c>
      <c r="C45" s="8" t="s">
        <v>2</v>
      </c>
      <c r="D45" s="8" t="s">
        <v>0</v>
      </c>
      <c r="E45" s="8" t="s">
        <v>3</v>
      </c>
      <c r="F45" s="8" t="s">
        <v>1</v>
      </c>
      <c r="G45" s="8" t="s">
        <v>0</v>
      </c>
      <c r="H45" s="8" t="s">
        <v>4</v>
      </c>
      <c r="I45" s="10"/>
      <c r="J45" s="4"/>
      <c r="K45" s="8" t="s">
        <v>1</v>
      </c>
      <c r="L45" s="8" t="s">
        <v>2</v>
      </c>
      <c r="M45" s="8" t="s">
        <v>0</v>
      </c>
      <c r="N45" s="8" t="s">
        <v>3</v>
      </c>
      <c r="O45" s="8" t="s">
        <v>1</v>
      </c>
      <c r="P45" s="8" t="s">
        <v>0</v>
      </c>
      <c r="Q45" s="8" t="s">
        <v>4</v>
      </c>
      <c r="R45" s="10"/>
      <c r="T45" s="8" t="s">
        <v>1</v>
      </c>
      <c r="U45" s="8" t="s">
        <v>2</v>
      </c>
      <c r="V45" s="8" t="s">
        <v>0</v>
      </c>
      <c r="W45" s="8" t="s">
        <v>3</v>
      </c>
      <c r="X45" s="8" t="s">
        <v>1</v>
      </c>
      <c r="Y45" s="8" t="s">
        <v>0</v>
      </c>
      <c r="Z45" s="8" t="s">
        <v>4</v>
      </c>
      <c r="AA45" s="10"/>
      <c r="AB45" s="3"/>
      <c r="AC45" s="8" t="s">
        <v>1</v>
      </c>
      <c r="AD45" s="8" t="s">
        <v>2</v>
      </c>
      <c r="AE45" s="8" t="s">
        <v>0</v>
      </c>
      <c r="AF45" s="8" t="s">
        <v>3</v>
      </c>
      <c r="AG45" s="8" t="s">
        <v>1</v>
      </c>
      <c r="AH45" s="8" t="s">
        <v>0</v>
      </c>
      <c r="AI45" s="8" t="s">
        <v>4</v>
      </c>
      <c r="AO45" s="42">
        <v>42457</v>
      </c>
      <c r="AP45" s="24"/>
      <c r="AQ45" s="26"/>
      <c r="AR45" s="16"/>
    </row>
    <row r="46" spans="2:44" ht="15.75" x14ac:dyDescent="0.25">
      <c r="B46" s="3" t="str">
        <f>IF(DAY(MaySun1)=1,"",IF(AND(YEAR(MaySun1+1)=CalendarYear+1,MONTH(MaySun1+1)=5),MaySun1+1,""))</f>
        <v/>
      </c>
      <c r="C46" s="3" t="str">
        <f>IF(DAY(MaySun1)=1,"",IF(AND(YEAR(MaySun1+2)=CalendarYear+1,MONTH(MaySun1+2)=5),MaySun1+2,""))</f>
        <v/>
      </c>
      <c r="D46" s="3" t="str">
        <f>IF(DAY(MaySun1)=1,"",IF(AND(YEAR(MaySun1+3)=CalendarYear+1,MONTH(MaySun1+3)=5),MaySun1+3,""))</f>
        <v/>
      </c>
      <c r="E46" s="3" t="str">
        <f>IF(DAY(MaySun1)=1,"",IF(AND(YEAR(MaySun1+4)=CalendarYear+1,MONTH(MaySun1+4)=5),MaySun1+4,""))</f>
        <v/>
      </c>
      <c r="F46" s="3" t="str">
        <f>IF(DAY(MaySun1)=1,"",IF(AND(YEAR(MaySun1+5)=CalendarYear+1,MONTH(MaySun1+5)=5),MaySun1+5,""))</f>
        <v/>
      </c>
      <c r="G46" s="3" t="str">
        <f>IF(DAY(MaySun1)=1,"",IF(AND(YEAR(MaySun1+6)=CalendarYear+1,MONTH(MaySun1+6)=5),MaySun1+6,""))</f>
        <v/>
      </c>
      <c r="H46" s="3">
        <f>IF(DAY(MaySun1)=1,IF(AND(YEAR(MaySun1)=CalendarYear+1,MONTH(MaySun1)=5),MaySun1,""),IF(AND(YEAR(MaySun1+7)=CalendarYear+1,MONTH(MaySun1+7)=5),MaySun1+7,""))</f>
        <v>42491</v>
      </c>
      <c r="I46" s="11"/>
      <c r="J46" s="1"/>
      <c r="K46" s="3" t="str">
        <f>IF(DAY(JunSun1)=1,"",IF(AND(YEAR(JunSun1+1)=CalendarYear+1,MONTH(JunSun1+1)=6),JunSun1+1,""))</f>
        <v/>
      </c>
      <c r="L46" s="3" t="str">
        <f>IF(DAY(JunSun1)=1,"",IF(AND(YEAR(JunSun1+2)=CalendarYear+1,MONTH(JunSun1+2)=6),JunSun1+2,""))</f>
        <v/>
      </c>
      <c r="M46" s="3">
        <f>IF(DAY(JunSun1)=1,"",IF(AND(YEAR(JunSun1+3)=CalendarYear+1,MONTH(JunSun1+3)=6),JunSun1+3,""))</f>
        <v>42522</v>
      </c>
      <c r="N46" s="3">
        <f>IF(DAY(JunSun1)=1,"",IF(AND(YEAR(JunSun1+4)=CalendarYear+1,MONTH(JunSun1+4)=6),JunSun1+4,""))</f>
        <v>42523</v>
      </c>
      <c r="O46" s="3">
        <f>IF(DAY(JunSun1)=1,"",IF(AND(YEAR(JunSun1+5)=CalendarYear+1,MONTH(JunSun1+5)=6),JunSun1+5,""))</f>
        <v>42524</v>
      </c>
      <c r="P46" s="3">
        <f>IF(DAY(JunSun1)=1,"",IF(AND(YEAR(JunSun1+6)=CalendarYear+1,MONTH(JunSun1+6)=6),JunSun1+6,""))</f>
        <v>42525</v>
      </c>
      <c r="Q46" s="3">
        <f>IF(DAY(JunSun1)=1,IF(AND(YEAR(JunSun1)=CalendarYear+1,MONTH(JunSun1)=6),JunSun1,""),IF(AND(YEAR(JunSun1+7)=CalendarYear+1,MONTH(JunSun1+7)=6),JunSun1+7,""))</f>
        <v>42526</v>
      </c>
      <c r="R46" s="11"/>
      <c r="T46" s="3" t="str">
        <f>IF(DAY(JulSun1)=1,"",IF(AND(YEAR(JulSun1+1)=CalendarYear+1,MONTH(JulSun1+1)=7),JulSun1+1,""))</f>
        <v/>
      </c>
      <c r="U46" s="3" t="str">
        <f>IF(DAY(JulSun1)=1,"",IF(AND(YEAR(JulSun1+2)=CalendarYear+1,MONTH(JulSun1+2)=7),JulSun1+2,""))</f>
        <v/>
      </c>
      <c r="V46" s="3" t="str">
        <f>IF(DAY(JulSun1)=1,"",IF(AND(YEAR(JulSun1+3)=CalendarYear+1,MONTH(JulSun1+3)=7),JulSun1+3,""))</f>
        <v/>
      </c>
      <c r="W46" s="3" t="str">
        <f>IF(DAY(JulSun1)=1,"",IF(AND(YEAR(JulSun1+4)=CalendarYear+1,MONTH(JulSun1+4)=7),JulSun1+4,""))</f>
        <v/>
      </c>
      <c r="X46" s="3">
        <f>IF(DAY(JulSun1)=1,"",IF(AND(YEAR(JulSun1+5)=CalendarYear+1,MONTH(JulSun1+5)=7),JulSun1+5,""))</f>
        <v>42552</v>
      </c>
      <c r="Y46" s="3">
        <f>IF(DAY(JulSun1)=1,"",IF(AND(YEAR(JulSun1+6)=CalendarYear+1,MONTH(JulSun1+6)=7),JulSun1+6,""))</f>
        <v>42553</v>
      </c>
      <c r="Z46" s="3">
        <f>IF(DAY(JulSun1)=1,IF(AND(YEAR(JulSun1)=CalendarYear+1,MONTH(JulSun1)=7),JulSun1,""),IF(AND(YEAR(JulSun1+7)=CalendarYear+1,MONTH(JulSun1+7)=7),JulSun1+7,""))</f>
        <v>42554</v>
      </c>
      <c r="AA46" s="11"/>
      <c r="AB46" s="6"/>
      <c r="AC46" s="3">
        <f>IF(DAY(AugSun1)=1,"",IF(AND(YEAR(AugSun1+1)=CalendarYear+1,MONTH(AugSun1+1)=8),AugSun1+1,""))</f>
        <v>42583</v>
      </c>
      <c r="AD46" s="3">
        <f>IF(DAY(AugSun1)=1,"",IF(AND(YEAR(AugSun1+2)=CalendarYear+1,MONTH(AugSun1+2)=8),AugSun1+2,""))</f>
        <v>42584</v>
      </c>
      <c r="AE46" s="3">
        <f>IF(DAY(AugSun1)=1,"",IF(AND(YEAR(AugSun1+3)=CalendarYear+1,MONTH(AugSun1+3)=8),AugSun1+3,""))</f>
        <v>42585</v>
      </c>
      <c r="AF46" s="3">
        <f>IF(DAY(AugSun1)=1,"",IF(AND(YEAR(AugSun1+4)=CalendarYear+1,MONTH(AugSun1+4)=8),AugSun1+4,""))</f>
        <v>42586</v>
      </c>
      <c r="AG46" s="3">
        <f>IF(DAY(AugSun1)=1,"",IF(AND(YEAR(AugSun1+5)=CalendarYear+1,MONTH(AugSun1+5)=8),AugSun1+5,""))</f>
        <v>42587</v>
      </c>
      <c r="AH46" s="3">
        <f>IF(DAY(AugSun1)=1,"",IF(AND(YEAR(AugSun1+6)=CalendarYear+1,MONTH(AugSun1+6)=8),AugSun1+6,""))</f>
        <v>42588</v>
      </c>
      <c r="AI46" s="3">
        <f>IF(DAY(AugSun1)=1,IF(AND(YEAR(AugSun1)=CalendarYear+1,MONTH(AugSun1)=8),AugSun1,""),IF(AND(YEAR(AugSun1+7)=CalendarYear+1,MONTH(AugSun1+7)=8),AugSun1+7,""))</f>
        <v>42589</v>
      </c>
      <c r="AO46" s="42"/>
      <c r="AP46" s="42"/>
      <c r="AQ46" s="43"/>
      <c r="AR46" s="44"/>
    </row>
    <row r="47" spans="2:44" ht="14.25" x14ac:dyDescent="0.2">
      <c r="B47" s="3">
        <f>IF(DAY(MaySun1)=1,IF(AND(YEAR(MaySun1+1)=CalendarYear+1,MONTH(MaySun1+1)=5),MaySun1+1,""),IF(AND(YEAR(MaySun1+8)=CalendarYear+1,MONTH(MaySun1+8)=5),MaySun1+8,""))</f>
        <v>42492</v>
      </c>
      <c r="C47" s="3">
        <f>IF(DAY(MaySun1)=1,IF(AND(YEAR(MaySun1+2)=CalendarYear+1,MONTH(MaySun1+2)=5),MaySun1+2,""),IF(AND(YEAR(MaySun1+9)=CalendarYear+1,MONTH(MaySun1+9)=5),MaySun1+9,""))</f>
        <v>42493</v>
      </c>
      <c r="D47" s="3">
        <f>IF(DAY(MaySun1)=1,IF(AND(YEAR(MaySun1+3)=CalendarYear+1,MONTH(MaySun1+3)=5),MaySun1+3,""),IF(AND(YEAR(MaySun1+10)=CalendarYear+1,MONTH(MaySun1+10)=5),MaySun1+10,""))</f>
        <v>42494</v>
      </c>
      <c r="E47" s="3">
        <f>IF(DAY(MaySun1)=1,IF(AND(YEAR(MaySun1+4)=CalendarYear+1,MONTH(MaySun1+4)=5),MaySun1+4,""),IF(AND(YEAR(MaySun1+11)=CalendarYear+1,MONTH(MaySun1+11)=5),MaySun1+11,""))</f>
        <v>42495</v>
      </c>
      <c r="F47" s="3">
        <f>IF(DAY(MaySun1)=1,IF(AND(YEAR(MaySun1+5)=CalendarYear+1,MONTH(MaySun1+5)=5),MaySun1+5,""),IF(AND(YEAR(MaySun1+12)=CalendarYear+1,MONTH(MaySun1+12)=5),MaySun1+12,""))</f>
        <v>42496</v>
      </c>
      <c r="G47" s="3">
        <f>IF(DAY(MaySun1)=1,IF(AND(YEAR(MaySun1+6)=CalendarYear+1,MONTH(MaySun1+6)=5),MaySun1+6,""),IF(AND(YEAR(MaySun1+13)=CalendarYear+1,MONTH(MaySun1+13)=5),MaySun1+13,""))</f>
        <v>42497</v>
      </c>
      <c r="H47" s="3">
        <f>IF(DAY(MaySun1)=1,IF(AND(YEAR(MaySun1+7)=CalendarYear+1,MONTH(MaySun1+7)=5),MaySun1+7,""),IF(AND(YEAR(MaySun1+14)=CalendarYear+1,MONTH(MaySun1+14)=5),MaySun1+14,""))</f>
        <v>42498</v>
      </c>
      <c r="I47" s="11"/>
      <c r="J47" s="2"/>
      <c r="K47" s="3">
        <f>IF(DAY(JunSun1)=1,IF(AND(YEAR(JunSun1+1)=CalendarYear+1,MONTH(JunSun1+1)=6),JunSun1+1,""),IF(AND(YEAR(JunSun1+8)=CalendarYear+1,MONTH(JunSun1+8)=6),JunSun1+8,""))</f>
        <v>42527</v>
      </c>
      <c r="L47" s="3">
        <f>IF(DAY(JunSun1)=1,IF(AND(YEAR(JunSun1+2)=CalendarYear+1,MONTH(JunSun1+2)=6),JunSun1+2,""),IF(AND(YEAR(JunSun1+9)=CalendarYear+1,MONTH(JunSun1+9)=6),JunSun1+9,""))</f>
        <v>42528</v>
      </c>
      <c r="M47" s="3">
        <f>IF(DAY(JunSun1)=1,IF(AND(YEAR(JunSun1+3)=CalendarYear+1,MONTH(JunSun1+3)=6),JunSun1+3,""),IF(AND(YEAR(JunSun1+10)=CalendarYear+1,MONTH(JunSun1+10)=6),JunSun1+10,""))</f>
        <v>42529</v>
      </c>
      <c r="N47" s="3">
        <f>IF(DAY(JunSun1)=1,IF(AND(YEAR(JunSun1+4)=CalendarYear+1,MONTH(JunSun1+4)=6),JunSun1+4,""),IF(AND(YEAR(JunSun1+11)=CalendarYear+1,MONTH(JunSun1+11)=6),JunSun1+11,""))</f>
        <v>42530</v>
      </c>
      <c r="O47" s="3">
        <f>IF(DAY(JunSun1)=1,IF(AND(YEAR(JunSun1+5)=CalendarYear+1,MONTH(JunSun1+5)=6),JunSun1+5,""),IF(AND(YEAR(JunSun1+12)=CalendarYear+1,MONTH(JunSun1+12)=6),JunSun1+12,""))</f>
        <v>42531</v>
      </c>
      <c r="P47" s="3">
        <f>IF(DAY(JunSun1)=1,IF(AND(YEAR(JunSun1+6)=CalendarYear+1,MONTH(JunSun1+6)=6),JunSun1+6,""),IF(AND(YEAR(JunSun1+13)=CalendarYear+1,MONTH(JunSun1+13)=6),JunSun1+13,""))</f>
        <v>42532</v>
      </c>
      <c r="Q47" s="3">
        <f>IF(DAY(JunSun1)=1,IF(AND(YEAR(JunSun1+7)=CalendarYear+1,MONTH(JunSun1+7)=6),JunSun1+7,""),IF(AND(YEAR(JunSun1+14)=CalendarYear+1,MONTH(JunSun1+14)=6),JunSun1+14,""))</f>
        <v>42533</v>
      </c>
      <c r="R47" s="11"/>
      <c r="T47" s="3">
        <f>IF(DAY(JulSun1)=1,IF(AND(YEAR(JulSun1+1)=CalendarYear+1,MONTH(JulSun1+1)=7),JulSun1+1,""),IF(AND(YEAR(JulSun1+8)=CalendarYear+1,MONTH(JulSun1+8)=7),JulSun1+8,""))</f>
        <v>42555</v>
      </c>
      <c r="U47" s="3">
        <f>IF(DAY(JulSun1)=1,IF(AND(YEAR(JulSun1+2)=CalendarYear+1,MONTH(JulSun1+2)=7),JulSun1+2,""),IF(AND(YEAR(JulSun1+9)=CalendarYear+1,MONTH(JulSun1+9)=7),JulSun1+9,""))</f>
        <v>42556</v>
      </c>
      <c r="V47" s="3">
        <f>IF(DAY(JulSun1)=1,IF(AND(YEAR(JulSun1+3)=CalendarYear+1,MONTH(JulSun1+3)=7),JulSun1+3,""),IF(AND(YEAR(JulSun1+10)=CalendarYear+1,MONTH(JulSun1+10)=7),JulSun1+10,""))</f>
        <v>42557</v>
      </c>
      <c r="W47" s="3">
        <f>IF(DAY(JulSun1)=1,IF(AND(YEAR(JulSun1+4)=CalendarYear+1,MONTH(JulSun1+4)=7),JulSun1+4,""),IF(AND(YEAR(JulSun1+11)=CalendarYear+1,MONTH(JulSun1+11)=7),JulSun1+11,""))</f>
        <v>42558</v>
      </c>
      <c r="X47" s="3">
        <f>IF(DAY(JulSun1)=1,IF(AND(YEAR(JulSun1+5)=CalendarYear+1,MONTH(JulSun1+5)=7),JulSun1+5,""),IF(AND(YEAR(JulSun1+12)=CalendarYear+1,MONTH(JulSun1+12)=7),JulSun1+12,""))</f>
        <v>42559</v>
      </c>
      <c r="Y47" s="3">
        <f>IF(DAY(JulSun1)=1,IF(AND(YEAR(JulSun1+6)=CalendarYear+1,MONTH(JulSun1+6)=7),JulSun1+6,""),IF(AND(YEAR(JulSun1+13)=CalendarYear+1,MONTH(JulSun1+13)=7),JulSun1+13,""))</f>
        <v>42560</v>
      </c>
      <c r="Z47" s="3">
        <f>IF(DAY(JulSun1)=1,IF(AND(YEAR(JulSun1+7)=CalendarYear+1,MONTH(JulSun1+7)=7),JulSun1+7,""),IF(AND(YEAR(JulSun1+14)=CalendarYear+1,MONTH(JulSun1+14)=7),JulSun1+14,""))</f>
        <v>42561</v>
      </c>
      <c r="AA47" s="11"/>
      <c r="AB47" s="5"/>
      <c r="AC47" s="3">
        <f>IF(DAY(AugSun1)=1,IF(AND(YEAR(AugSun1+1)=CalendarYear+1,MONTH(AugSun1+1)=8),AugSun1+1,""),IF(AND(YEAR(AugSun1+8)=CalendarYear+1,MONTH(AugSun1+8)=8),AugSun1+8,""))</f>
        <v>42590</v>
      </c>
      <c r="AD47" s="3">
        <f>IF(DAY(AugSun1)=1,IF(AND(YEAR(AugSun1+2)=CalendarYear+1,MONTH(AugSun1+2)=8),AugSun1+2,""),IF(AND(YEAR(AugSun1+9)=CalendarYear+1,MONTH(AugSun1+9)=8),AugSun1+9,""))</f>
        <v>42591</v>
      </c>
      <c r="AE47" s="3">
        <f>IF(DAY(AugSun1)=1,IF(AND(YEAR(AugSun1+3)=CalendarYear+1,MONTH(AugSun1+3)=8),AugSun1+3,""),IF(AND(YEAR(AugSun1+10)=CalendarYear+1,MONTH(AugSun1+10)=8),AugSun1+10,""))</f>
        <v>42592</v>
      </c>
      <c r="AF47" s="3">
        <f>IF(DAY(AugSun1)=1,IF(AND(YEAR(AugSun1+4)=CalendarYear+1,MONTH(AugSun1+4)=8),AugSun1+4,""),IF(AND(YEAR(AugSun1+11)=CalendarYear+1,MONTH(AugSun1+11)=8),AugSun1+11,""))</f>
        <v>42593</v>
      </c>
      <c r="AG47" s="3">
        <f>IF(DAY(AugSun1)=1,IF(AND(YEAR(AugSun1+5)=CalendarYear+1,MONTH(AugSun1+5)=8),AugSun1+5,""),IF(AND(YEAR(AugSun1+12)=CalendarYear+1,MONTH(AugSun1+12)=8),AugSun1+12,""))</f>
        <v>42594</v>
      </c>
      <c r="AH47" s="3">
        <f>IF(DAY(AugSun1)=1,IF(AND(YEAR(AugSun1+6)=CalendarYear+1,MONTH(AugSun1+6)=8),AugSun1+6,""),IF(AND(YEAR(AugSun1+13)=CalendarYear+1,MONTH(AugSun1+13)=8),AugSun1+13,""))</f>
        <v>42595</v>
      </c>
      <c r="AI47" s="3">
        <f>IF(DAY(AugSun1)=1,IF(AND(YEAR(AugSun1+7)=CalendarYear+1,MONTH(AugSun1+7)=8),AugSun1+7,""),IF(AND(YEAR(AugSun1+14)=CalendarYear+1,MONTH(AugSun1+14)=8),AugSun1+14,""))</f>
        <v>42596</v>
      </c>
      <c r="AO47" s="24">
        <v>42532</v>
      </c>
      <c r="AP47" s="24"/>
      <c r="AQ47" s="26"/>
      <c r="AR47" s="16"/>
    </row>
    <row r="48" spans="2:44" ht="14.25" x14ac:dyDescent="0.2">
      <c r="B48" s="3">
        <f>IF(DAY(MaySun1)=1,IF(AND(YEAR(MaySun1+8)=CalendarYear+1,MONTH(MaySun1+8)=5),MaySun1+8,""),IF(AND(YEAR(MaySun1+15)=CalendarYear+1,MONTH(MaySun1+15)=5),MaySun1+15,""))</f>
        <v>42499</v>
      </c>
      <c r="C48" s="3">
        <f>IF(DAY(MaySun1)=1,IF(AND(YEAR(MaySun1+9)=CalendarYear+1,MONTH(MaySun1+9)=5),MaySun1+9,""),IF(AND(YEAR(MaySun1+16)=CalendarYear+1,MONTH(MaySun1+16)=5),MaySun1+16,""))</f>
        <v>42500</v>
      </c>
      <c r="D48" s="3">
        <f>IF(DAY(MaySun1)=1,IF(AND(YEAR(MaySun1+10)=CalendarYear+1,MONTH(MaySun1+10)=5),MaySun1+10,""),IF(AND(YEAR(MaySun1+17)=CalendarYear+1,MONTH(MaySun1+17)=5),MaySun1+17,""))</f>
        <v>42501</v>
      </c>
      <c r="E48" s="3">
        <f>IF(DAY(MaySun1)=1,IF(AND(YEAR(MaySun1+11)=CalendarYear+1,MONTH(MaySun1+11)=5),MaySun1+11,""),IF(AND(YEAR(MaySun1+18)=CalendarYear+1,MONTH(MaySun1+18)=5),MaySun1+18,""))</f>
        <v>42502</v>
      </c>
      <c r="F48" s="3">
        <f>IF(DAY(MaySun1)=1,IF(AND(YEAR(MaySun1+12)=CalendarYear+1,MONTH(MaySun1+12)=5),MaySun1+12,""),IF(AND(YEAR(MaySun1+19)=CalendarYear+1,MONTH(MaySun1+19)=5),MaySun1+19,""))</f>
        <v>42503</v>
      </c>
      <c r="G48" s="3">
        <f>IF(DAY(MaySun1)=1,IF(AND(YEAR(MaySun1+13)=CalendarYear+1,MONTH(MaySun1+13)=5),MaySun1+13,""),IF(AND(YEAR(MaySun1+20)=CalendarYear+1,MONTH(MaySun1+20)=5),MaySun1+20,""))</f>
        <v>42504</v>
      </c>
      <c r="H48" s="3">
        <f>IF(DAY(MaySun1)=1,IF(AND(YEAR(MaySun1+14)=CalendarYear+1,MONTH(MaySun1+14)=5),MaySun1+14,""),IF(AND(YEAR(MaySun1+21)=CalendarYear+1,MONTH(MaySun1+21)=5),MaySun1+21,""))</f>
        <v>42505</v>
      </c>
      <c r="I48" s="11"/>
      <c r="J48" s="3"/>
      <c r="K48" s="3">
        <f>IF(DAY(JunSun1)=1,IF(AND(YEAR(JunSun1+8)=CalendarYear+1,MONTH(JunSun1+8)=6),JunSun1+8,""),IF(AND(YEAR(JunSun1+15)=CalendarYear+1,MONTH(JunSun1+15)=6),JunSun1+15,""))</f>
        <v>42534</v>
      </c>
      <c r="L48" s="3">
        <f>IF(DAY(JunSun1)=1,IF(AND(YEAR(JunSun1+9)=CalendarYear+1,MONTH(JunSun1+9)=6),JunSun1+9,""),IF(AND(YEAR(JunSun1+16)=CalendarYear+1,MONTH(JunSun1+16)=6),JunSun1+16,""))</f>
        <v>42535</v>
      </c>
      <c r="M48" s="3">
        <f>IF(DAY(JunSun1)=1,IF(AND(YEAR(JunSun1+10)=CalendarYear+1,MONTH(JunSun1+10)=6),JunSun1+10,""),IF(AND(YEAR(JunSun1+17)=CalendarYear+1,MONTH(JunSun1+17)=6),JunSun1+17,""))</f>
        <v>42536</v>
      </c>
      <c r="N48" s="3">
        <f>IF(DAY(JunSun1)=1,IF(AND(YEAR(JunSun1+11)=CalendarYear+1,MONTH(JunSun1+11)=6),JunSun1+11,""),IF(AND(YEAR(JunSun1+18)=CalendarYear+1,MONTH(JunSun1+18)=6),JunSun1+18,""))</f>
        <v>42537</v>
      </c>
      <c r="O48" s="3">
        <f>IF(DAY(JunSun1)=1,IF(AND(YEAR(JunSun1+12)=CalendarYear+1,MONTH(JunSun1+12)=6),JunSun1+12,""),IF(AND(YEAR(JunSun1+19)=CalendarYear+1,MONTH(JunSun1+19)=6),JunSun1+19,""))</f>
        <v>42538</v>
      </c>
      <c r="P48" s="3">
        <f>IF(DAY(JunSun1)=1,IF(AND(YEAR(JunSun1+13)=CalendarYear+1,MONTH(JunSun1+13)=6),JunSun1+13,""),IF(AND(YEAR(JunSun1+20)=CalendarYear+1,MONTH(JunSun1+20)=6),JunSun1+20,""))</f>
        <v>42539</v>
      </c>
      <c r="Q48" s="3">
        <f>IF(DAY(JunSun1)=1,IF(AND(YEAR(JunSun1+14)=CalendarYear+1,MONTH(JunSun1+14)=6),JunSun1+14,""),IF(AND(YEAR(JunSun1+21)=CalendarYear+1,MONTH(JunSun1+21)=6),JunSun1+21,""))</f>
        <v>42540</v>
      </c>
      <c r="R48" s="11"/>
      <c r="T48" s="3">
        <f>IF(DAY(JulSun1)=1,IF(AND(YEAR(JulSun1+8)=CalendarYear+1,MONTH(JulSun1+8)=7),JulSun1+8,""),IF(AND(YEAR(JulSun1+15)=CalendarYear+1,MONTH(JulSun1+15)=7),JulSun1+15,""))</f>
        <v>42562</v>
      </c>
      <c r="U48" s="3">
        <f>IF(DAY(JulSun1)=1,IF(AND(YEAR(JulSun1+9)=CalendarYear+1,MONTH(JulSun1+9)=7),JulSun1+9,""),IF(AND(YEAR(JulSun1+16)=CalendarYear+1,MONTH(JulSun1+16)=7),JulSun1+16,""))</f>
        <v>42563</v>
      </c>
      <c r="V48" s="3">
        <f>IF(DAY(JulSun1)=1,IF(AND(YEAR(JulSun1+10)=CalendarYear+1,MONTH(JulSun1+10)=7),JulSun1+10,""),IF(AND(YEAR(JulSun1+17)=CalendarYear+1,MONTH(JulSun1+17)=7),JulSun1+17,""))</f>
        <v>42564</v>
      </c>
      <c r="W48" s="3">
        <f>IF(DAY(JulSun1)=1,IF(AND(YEAR(JulSun1+11)=CalendarYear+1,MONTH(JulSun1+11)=7),JulSun1+11,""),IF(AND(YEAR(JulSun1+18)=CalendarYear+1,MONTH(JulSun1+18)=7),JulSun1+18,""))</f>
        <v>42565</v>
      </c>
      <c r="X48" s="3">
        <f>IF(DAY(JulSun1)=1,IF(AND(YEAR(JulSun1+12)=CalendarYear+1,MONTH(JulSun1+12)=7),JulSun1+12,""),IF(AND(YEAR(JulSun1+19)=CalendarYear+1,MONTH(JulSun1+19)=7),JulSun1+19,""))</f>
        <v>42566</v>
      </c>
      <c r="Y48" s="3">
        <f>IF(DAY(JulSun1)=1,IF(AND(YEAR(JulSun1+13)=CalendarYear+1,MONTH(JulSun1+13)=7),JulSun1+13,""),IF(AND(YEAR(JulSun1+20)=CalendarYear+1,MONTH(JulSun1+20)=7),JulSun1+20,""))</f>
        <v>42567</v>
      </c>
      <c r="Z48" s="3">
        <f>IF(DAY(JulSun1)=1,IF(AND(YEAR(JulSun1+14)=CalendarYear+1,MONTH(JulSun1+14)=7),JulSun1+14,""),IF(AND(YEAR(JulSun1+21)=CalendarYear+1,MONTH(JulSun1+21)=7),JulSun1+21,""))</f>
        <v>42568</v>
      </c>
      <c r="AA48" s="11"/>
      <c r="AB48" s="5"/>
      <c r="AC48" s="3">
        <f>IF(DAY(AugSun1)=1,IF(AND(YEAR(AugSun1+8)=CalendarYear+1,MONTH(AugSun1+8)=8),AugSun1+8,""),IF(AND(YEAR(AugSun1+15)=CalendarYear+1,MONTH(AugSun1+15)=8),AugSun1+15,""))</f>
        <v>42597</v>
      </c>
      <c r="AD48" s="3">
        <f>IF(DAY(AugSun1)=1,IF(AND(YEAR(AugSun1+9)=CalendarYear+1,MONTH(AugSun1+9)=8),AugSun1+9,""),IF(AND(YEAR(AugSun1+16)=CalendarYear+1,MONTH(AugSun1+16)=8),AugSun1+16,""))</f>
        <v>42598</v>
      </c>
      <c r="AE48" s="3">
        <f>IF(DAY(AugSun1)=1,IF(AND(YEAR(AugSun1+10)=CalendarYear+1,MONTH(AugSun1+10)=8),AugSun1+10,""),IF(AND(YEAR(AugSun1+17)=CalendarYear+1,MONTH(AugSun1+17)=8),AugSun1+17,""))</f>
        <v>42599</v>
      </c>
      <c r="AF48" s="3">
        <f>IF(DAY(AugSun1)=1,IF(AND(YEAR(AugSun1+11)=CalendarYear+1,MONTH(AugSun1+11)=8),AugSun1+11,""),IF(AND(YEAR(AugSun1+18)=CalendarYear+1,MONTH(AugSun1+18)=8),AugSun1+18,""))</f>
        <v>42600</v>
      </c>
      <c r="AG48" s="3">
        <f>IF(DAY(AugSun1)=1,IF(AND(YEAR(AugSun1+12)=CalendarYear+1,MONTH(AugSun1+12)=8),AugSun1+12,""),IF(AND(YEAR(AugSun1+19)=CalendarYear+1,MONTH(AugSun1+19)=8),AugSun1+19,""))</f>
        <v>42601</v>
      </c>
      <c r="AH48" s="3">
        <f>IF(DAY(AugSun1)=1,IF(AND(YEAR(AugSun1+13)=CalendarYear+1,MONTH(AugSun1+13)=8),AugSun1+13,""),IF(AND(YEAR(AugSun1+20)=CalendarYear+1,MONTH(AugSun1+20)=8),AugSun1+20,""))</f>
        <v>42602</v>
      </c>
      <c r="AI48" s="3">
        <f>IF(DAY(AugSun1)=1,IF(AND(YEAR(AugSun1+14)=CalendarYear+1,MONTH(AugSun1+14)=8),AugSun1+14,""),IF(AND(YEAR(AugSun1+21)=CalendarYear+1,MONTH(AugSun1+21)=8),AugSun1+21,""))</f>
        <v>42603</v>
      </c>
      <c r="AO48" s="24">
        <v>42533</v>
      </c>
      <c r="AP48" s="42"/>
      <c r="AQ48" s="43"/>
      <c r="AR48" s="44"/>
    </row>
    <row r="49" spans="2:44" ht="14.25" x14ac:dyDescent="0.2">
      <c r="B49" s="3">
        <f>IF(DAY(MaySun1)=1,IF(AND(YEAR(MaySun1+15)=CalendarYear+1,MONTH(MaySun1+15)=5),MaySun1+15,""),IF(AND(YEAR(MaySun1+22)=CalendarYear+1,MONTH(MaySun1+22)=5),MaySun1+22,""))</f>
        <v>42506</v>
      </c>
      <c r="C49" s="3">
        <f>IF(DAY(MaySun1)=1,IF(AND(YEAR(MaySun1+16)=CalendarYear+1,MONTH(MaySun1+16)=5),MaySun1+16,""),IF(AND(YEAR(MaySun1+23)=CalendarYear+1,MONTH(MaySun1+23)=5),MaySun1+23,""))</f>
        <v>42507</v>
      </c>
      <c r="D49" s="3">
        <f>IF(DAY(MaySun1)=1,IF(AND(YEAR(MaySun1+17)=CalendarYear+1,MONTH(MaySun1+17)=5),MaySun1+17,""),IF(AND(YEAR(MaySun1+24)=CalendarYear+1,MONTH(MaySun1+24)=5),MaySun1+24,""))</f>
        <v>42508</v>
      </c>
      <c r="E49" s="3">
        <f>IF(DAY(MaySun1)=1,IF(AND(YEAR(MaySun1+18)=CalendarYear+1,MONTH(MaySun1+18)=5),MaySun1+18,""),IF(AND(YEAR(MaySun1+25)=CalendarYear+1,MONTH(MaySun1+25)=5),MaySun1+25,""))</f>
        <v>42509</v>
      </c>
      <c r="F49" s="3">
        <f>IF(DAY(MaySun1)=1,IF(AND(YEAR(MaySun1+19)=CalendarYear+1,MONTH(MaySun1+19)=5),MaySun1+19,""),IF(AND(YEAR(MaySun1+26)=CalendarYear+1,MONTH(MaySun1+26)=5),MaySun1+26,""))</f>
        <v>42510</v>
      </c>
      <c r="G49" s="3">
        <f>IF(DAY(MaySun1)=1,IF(AND(YEAR(MaySun1+20)=CalendarYear+1,MONTH(MaySun1+20)=5),MaySun1+20,""),IF(AND(YEAR(MaySun1+27)=CalendarYear+1,MONTH(MaySun1+27)=5),MaySun1+27,""))</f>
        <v>42511</v>
      </c>
      <c r="H49" s="3">
        <f>IF(DAY(MaySun1)=1,IF(AND(YEAR(MaySun1+21)=CalendarYear+1,MONTH(MaySun1+21)=5),MaySun1+21,""),IF(AND(YEAR(MaySun1+28)=CalendarYear+1,MONTH(MaySun1+28)=5),MaySun1+28,""))</f>
        <v>42512</v>
      </c>
      <c r="I49" s="11"/>
      <c r="J49" s="3"/>
      <c r="K49" s="3">
        <f>IF(DAY(JunSun1)=1,IF(AND(YEAR(JunSun1+15)=CalendarYear+1,MONTH(JunSun1+15)=6),JunSun1+15,""),IF(AND(YEAR(JunSun1+22)=CalendarYear+1,MONTH(JunSun1+22)=6),JunSun1+22,""))</f>
        <v>42541</v>
      </c>
      <c r="L49" s="3">
        <f>IF(DAY(JunSun1)=1,IF(AND(YEAR(JunSun1+16)=CalendarYear+1,MONTH(JunSun1+16)=6),JunSun1+16,""),IF(AND(YEAR(JunSun1+23)=CalendarYear+1,MONTH(JunSun1+23)=6),JunSun1+23,""))</f>
        <v>42542</v>
      </c>
      <c r="M49" s="3">
        <f>IF(DAY(JunSun1)=1,IF(AND(YEAR(JunSun1+17)=CalendarYear+1,MONTH(JunSun1+17)=6),JunSun1+17,""),IF(AND(YEAR(JunSun1+24)=CalendarYear+1,MONTH(JunSun1+24)=6),JunSun1+24,""))</f>
        <v>42543</v>
      </c>
      <c r="N49" s="3">
        <f>IF(DAY(JunSun1)=1,IF(AND(YEAR(JunSun1+18)=CalendarYear+1,MONTH(JunSun1+18)=6),JunSun1+18,""),IF(AND(YEAR(JunSun1+25)=CalendarYear+1,MONTH(JunSun1+25)=6),JunSun1+25,""))</f>
        <v>42544</v>
      </c>
      <c r="O49" s="3">
        <f>IF(DAY(JunSun1)=1,IF(AND(YEAR(JunSun1+19)=CalendarYear+1,MONTH(JunSun1+19)=6),JunSun1+19,""),IF(AND(YEAR(JunSun1+26)=CalendarYear+1,MONTH(JunSun1+26)=6),JunSun1+26,""))</f>
        <v>42545</v>
      </c>
      <c r="P49" s="3">
        <f>IF(DAY(JunSun1)=1,IF(AND(YEAR(JunSun1+20)=CalendarYear+1,MONTH(JunSun1+20)=6),JunSun1+20,""),IF(AND(YEAR(JunSun1+27)=CalendarYear+1,MONTH(JunSun1+27)=6),JunSun1+27,""))</f>
        <v>42546</v>
      </c>
      <c r="Q49" s="3">
        <f>IF(DAY(JunSun1)=1,IF(AND(YEAR(JunSun1+21)=CalendarYear+1,MONTH(JunSun1+21)=6),JunSun1+21,""),IF(AND(YEAR(JunSun1+28)=CalendarYear+1,MONTH(JunSun1+28)=6),JunSun1+28,""))</f>
        <v>42547</v>
      </c>
      <c r="R49" s="11"/>
      <c r="T49" s="3">
        <f>IF(DAY(JulSun1)=1,IF(AND(YEAR(JulSun1+15)=CalendarYear+1,MONTH(JulSun1+15)=7),JulSun1+15,""),IF(AND(YEAR(JulSun1+22)=CalendarYear+1,MONTH(JulSun1+22)=7),JulSun1+22,""))</f>
        <v>42569</v>
      </c>
      <c r="U49" s="3">
        <f>IF(DAY(JulSun1)=1,IF(AND(YEAR(JulSun1+16)=CalendarYear+1,MONTH(JulSun1+16)=7),JulSun1+16,""),IF(AND(YEAR(JulSun1+23)=CalendarYear+1,MONTH(JulSun1+23)=7),JulSun1+23,""))</f>
        <v>42570</v>
      </c>
      <c r="V49" s="3">
        <f>IF(DAY(JulSun1)=1,IF(AND(YEAR(JulSun1+17)=CalendarYear+1,MONTH(JulSun1+17)=7),JulSun1+17,""),IF(AND(YEAR(JulSun1+24)=CalendarYear+1,MONTH(JulSun1+24)=7),JulSun1+24,""))</f>
        <v>42571</v>
      </c>
      <c r="W49" s="3">
        <f>IF(DAY(JulSun1)=1,IF(AND(YEAR(JulSun1+18)=CalendarYear+1,MONTH(JulSun1+18)=7),JulSun1+18,""),IF(AND(YEAR(JulSun1+25)=CalendarYear+1,MONTH(JulSun1+25)=7),JulSun1+25,""))</f>
        <v>42572</v>
      </c>
      <c r="X49" s="3">
        <f>IF(DAY(JulSun1)=1,IF(AND(YEAR(JulSun1+19)=CalendarYear+1,MONTH(JulSun1+19)=7),JulSun1+19,""),IF(AND(YEAR(JulSun1+26)=CalendarYear+1,MONTH(JulSun1+26)=7),JulSun1+26,""))</f>
        <v>42573</v>
      </c>
      <c r="Y49" s="3">
        <f>IF(DAY(JulSun1)=1,IF(AND(YEAR(JulSun1+20)=CalendarYear+1,MONTH(JulSun1+20)=7),JulSun1+20,""),IF(AND(YEAR(JulSun1+27)=CalendarYear+1,MONTH(JulSun1+27)=7),JulSun1+27,""))</f>
        <v>42574</v>
      </c>
      <c r="Z49" s="3">
        <f>IF(DAY(JulSun1)=1,IF(AND(YEAR(JulSun1+21)=CalendarYear+1,MONTH(JulSun1+21)=7),JulSun1+21,""),IF(AND(YEAR(JulSun1+28)=CalendarYear+1,MONTH(JulSun1+28)=7),JulSun1+28,""))</f>
        <v>42575</v>
      </c>
      <c r="AA49" s="11"/>
      <c r="AB49" s="5"/>
      <c r="AC49" s="3">
        <f>IF(DAY(AugSun1)=1,IF(AND(YEAR(AugSun1+15)=CalendarYear+1,MONTH(AugSun1+15)=8),AugSun1+15,""),IF(AND(YEAR(AugSun1+22)=CalendarYear+1,MONTH(AugSun1+22)=8),AugSun1+22,""))</f>
        <v>42604</v>
      </c>
      <c r="AD49" s="3">
        <f>IF(DAY(AugSun1)=1,IF(AND(YEAR(AugSun1+16)=CalendarYear+1,MONTH(AugSun1+16)=8),AugSun1+16,""),IF(AND(YEAR(AugSun1+23)=CalendarYear+1,MONTH(AugSun1+23)=8),AugSun1+23,""))</f>
        <v>42605</v>
      </c>
      <c r="AE49" s="3">
        <f>IF(DAY(AugSun1)=1,IF(AND(YEAR(AugSun1+17)=CalendarYear+1,MONTH(AugSun1+17)=8),AugSun1+17,""),IF(AND(YEAR(AugSun1+24)=CalendarYear+1,MONTH(AugSun1+24)=8),AugSun1+24,""))</f>
        <v>42606</v>
      </c>
      <c r="AF49" s="3">
        <f>IF(DAY(AugSun1)=1,IF(AND(YEAR(AugSun1+18)=CalendarYear+1,MONTH(AugSun1+18)=8),AugSun1+18,""),IF(AND(YEAR(AugSun1+25)=CalendarYear+1,MONTH(AugSun1+25)=8),AugSun1+25,""))</f>
        <v>42607</v>
      </c>
      <c r="AG49" s="3">
        <f>IF(DAY(AugSun1)=1,IF(AND(YEAR(AugSun1+19)=CalendarYear+1,MONTH(AugSun1+19)=8),AugSun1+19,""),IF(AND(YEAR(AugSun1+26)=CalendarYear+1,MONTH(AugSun1+26)=8),AugSun1+26,""))</f>
        <v>42608</v>
      </c>
      <c r="AH49" s="3">
        <f>IF(DAY(AugSun1)=1,IF(AND(YEAR(AugSun1+20)=CalendarYear+1,MONTH(AugSun1+20)=8),AugSun1+20,""),IF(AND(YEAR(AugSun1+27)=CalendarYear+1,MONTH(AugSun1+27)=8),AugSun1+27,""))</f>
        <v>42609</v>
      </c>
      <c r="AI49" s="3">
        <f>IF(DAY(AugSun1)=1,IF(AND(YEAR(AugSun1+21)=CalendarYear+1,MONTH(AugSun1+21)=8),AugSun1+21,""),IF(AND(YEAR(AugSun1+28)=CalendarYear+1,MONTH(AugSun1+28)=8),AugSun1+28,""))</f>
        <v>42610</v>
      </c>
      <c r="AO49" s="24">
        <v>42534</v>
      </c>
      <c r="AP49" s="24"/>
      <c r="AQ49" s="26"/>
      <c r="AR49" s="16"/>
    </row>
    <row r="50" spans="2:44" ht="14.25" x14ac:dyDescent="0.2">
      <c r="B50" s="3">
        <f>IF(DAY(MaySun1)=1,IF(AND(YEAR(MaySun1+22)=CalendarYear+1,MONTH(MaySun1+22)=5),MaySun1+22,""),IF(AND(YEAR(MaySun1+29)=CalendarYear+1,MONTH(MaySun1+29)=5),MaySun1+29,""))</f>
        <v>42513</v>
      </c>
      <c r="C50" s="3">
        <f>IF(DAY(MaySun1)=1,IF(AND(YEAR(MaySun1+23)=CalendarYear+1,MONTH(MaySun1+23)=5),MaySun1+23,""),IF(AND(YEAR(MaySun1+30)=CalendarYear+1,MONTH(MaySun1+30)=5),MaySun1+30,""))</f>
        <v>42514</v>
      </c>
      <c r="D50" s="3">
        <f>IF(DAY(MaySun1)=1,IF(AND(YEAR(MaySun1+24)=CalendarYear+1,MONTH(MaySun1+24)=5),MaySun1+24,""),IF(AND(YEAR(MaySun1+31)=CalendarYear+1,MONTH(MaySun1+31)=5),MaySun1+31,""))</f>
        <v>42515</v>
      </c>
      <c r="E50" s="3">
        <f>IF(DAY(MaySun1)=1,IF(AND(YEAR(MaySun1+25)=CalendarYear+1,MONTH(MaySun1+25)=5),MaySun1+25,""),IF(AND(YEAR(MaySun1+32)=CalendarYear+1,MONTH(MaySun1+32)=5),MaySun1+32,""))</f>
        <v>42516</v>
      </c>
      <c r="F50" s="3">
        <f>IF(DAY(MaySun1)=1,IF(AND(YEAR(MaySun1+26)=CalendarYear+1,MONTH(MaySun1+26)=5),MaySun1+26,""),IF(AND(YEAR(MaySun1+33)=CalendarYear+1,MONTH(MaySun1+33)=5),MaySun1+33,""))</f>
        <v>42517</v>
      </c>
      <c r="G50" s="3">
        <f>IF(DAY(MaySun1)=1,IF(AND(YEAR(MaySun1+27)=CalendarYear+1,MONTH(MaySun1+27)=5),MaySun1+27,""),IF(AND(YEAR(MaySun1+34)=CalendarYear+1,MONTH(MaySun1+34)=5),MaySun1+34,""))</f>
        <v>42518</v>
      </c>
      <c r="H50" s="3">
        <f>IF(DAY(MaySun1)=1,IF(AND(YEAR(MaySun1+28)=CalendarYear+1,MONTH(MaySun1+28)=5),MaySun1+28,""),IF(AND(YEAR(MaySun1+35)=CalendarYear+1,MONTH(MaySun1+35)=5),MaySun1+35,""))</f>
        <v>42519</v>
      </c>
      <c r="I50" s="11"/>
      <c r="J50" s="3"/>
      <c r="K50" s="3">
        <f>IF(DAY(JunSun1)=1,IF(AND(YEAR(JunSun1+22)=CalendarYear+1,MONTH(JunSun1+22)=6),JunSun1+22,""),IF(AND(YEAR(JunSun1+29)=CalendarYear+1,MONTH(JunSun1+29)=6),JunSun1+29,""))</f>
        <v>42548</v>
      </c>
      <c r="L50" s="3">
        <f>IF(DAY(JunSun1)=1,IF(AND(YEAR(JunSun1+23)=CalendarYear+1,MONTH(JunSun1+23)=6),JunSun1+23,""),IF(AND(YEAR(JunSun1+30)=CalendarYear+1,MONTH(JunSun1+30)=6),JunSun1+30,""))</f>
        <v>42549</v>
      </c>
      <c r="M50" s="3">
        <f>IF(DAY(JunSun1)=1,IF(AND(YEAR(JunSun1+24)=CalendarYear+1,MONTH(JunSun1+24)=6),JunSun1+24,""),IF(AND(YEAR(JunSun1+31)=CalendarYear+1,MONTH(JunSun1+31)=6),JunSun1+31,""))</f>
        <v>42550</v>
      </c>
      <c r="N50" s="3">
        <f>IF(DAY(JunSun1)=1,IF(AND(YEAR(JunSun1+25)=CalendarYear+1,MONTH(JunSun1+25)=6),JunSun1+25,""),IF(AND(YEAR(JunSun1+32)=CalendarYear+1,MONTH(JunSun1+32)=6),JunSun1+32,""))</f>
        <v>42551</v>
      </c>
      <c r="O50" s="3" t="str">
        <f>IF(DAY(JunSun1)=1,IF(AND(YEAR(JunSun1+26)=CalendarYear+1,MONTH(JunSun1+26)=6),JunSun1+26,""),IF(AND(YEAR(JunSun1+33)=CalendarYear+1,MONTH(JunSun1+33)=6),JunSun1+33,""))</f>
        <v/>
      </c>
      <c r="P50" s="3" t="str">
        <f>IF(DAY(JunSun1)=1,IF(AND(YEAR(JunSun1+27)=CalendarYear+1,MONTH(JunSun1+27)=6),JunSun1+27,""),IF(AND(YEAR(JunSun1+34)=CalendarYear+1,MONTH(JunSun1+34)=6),JunSun1+34,""))</f>
        <v/>
      </c>
      <c r="Q50" s="3" t="str">
        <f>IF(DAY(JunSun1)=1,IF(AND(YEAR(JunSun1+28)=CalendarYear+1,MONTH(JunSun1+28)=6),JunSun1+28,""),IF(AND(YEAR(JunSun1+35)=CalendarYear+1,MONTH(JunSun1+35)=6),JunSun1+35,""))</f>
        <v/>
      </c>
      <c r="R50" s="11"/>
      <c r="T50" s="3">
        <f>IF(DAY(JulSun1)=1,IF(AND(YEAR(JulSun1+22)=CalendarYear+1,MONTH(JulSun1+22)=7),JulSun1+22,""),IF(AND(YEAR(JulSun1+29)=CalendarYear+1,MONTH(JulSun1+29)=7),JulSun1+29,""))</f>
        <v>42576</v>
      </c>
      <c r="U50" s="3">
        <f>IF(DAY(JulSun1)=1,IF(AND(YEAR(JulSun1+23)=CalendarYear+1,MONTH(JulSun1+23)=7),JulSun1+23,""),IF(AND(YEAR(JulSun1+30)=CalendarYear+1,MONTH(JulSun1+30)=7),JulSun1+30,""))</f>
        <v>42577</v>
      </c>
      <c r="V50" s="3">
        <f>IF(DAY(JulSun1)=1,IF(AND(YEAR(JulSun1+24)=CalendarYear+1,MONTH(JulSun1+24)=7),JulSun1+24,""),IF(AND(YEAR(JulSun1+31)=CalendarYear+1,MONTH(JulSun1+31)=7),JulSun1+31,""))</f>
        <v>42578</v>
      </c>
      <c r="W50" s="3">
        <f>IF(DAY(JulSun1)=1,IF(AND(YEAR(JulSun1+25)=CalendarYear+1,MONTH(JulSun1+25)=7),JulSun1+25,""),IF(AND(YEAR(JulSun1+32)=CalendarYear+1,MONTH(JulSun1+32)=7),JulSun1+32,""))</f>
        <v>42579</v>
      </c>
      <c r="X50" s="3">
        <f>IF(DAY(JulSun1)=1,IF(AND(YEAR(JulSun1+26)=CalendarYear+1,MONTH(JulSun1+26)=7),JulSun1+26,""),IF(AND(YEAR(JulSun1+33)=CalendarYear+1,MONTH(JulSun1+33)=7),JulSun1+33,""))</f>
        <v>42580</v>
      </c>
      <c r="Y50" s="3">
        <f>IF(DAY(JulSun1)=1,IF(AND(YEAR(JulSun1+27)=CalendarYear+1,MONTH(JulSun1+27)=7),JulSun1+27,""),IF(AND(YEAR(JulSun1+34)=CalendarYear+1,MONTH(JulSun1+34)=7),JulSun1+34,""))</f>
        <v>42581</v>
      </c>
      <c r="Z50" s="3">
        <f>IF(DAY(JulSun1)=1,IF(AND(YEAR(JulSun1+28)=CalendarYear+1,MONTH(JulSun1+28)=7),JulSun1+28,""),IF(AND(YEAR(JulSun1+35)=CalendarYear+1,MONTH(JulSun1+35)=7),JulSun1+35,""))</f>
        <v>42582</v>
      </c>
      <c r="AA50" s="11"/>
      <c r="AB50" s="5"/>
      <c r="AC50" s="3">
        <f>IF(DAY(AugSun1)=1,IF(AND(YEAR(AugSun1+22)=CalendarYear+1,MONTH(AugSun1+22)=8),AugSun1+22,""),IF(AND(YEAR(AugSun1+29)=CalendarYear+1,MONTH(AugSun1+29)=8),AugSun1+29,""))</f>
        <v>42611</v>
      </c>
      <c r="AD50" s="3">
        <f>IF(DAY(AugSun1)=1,IF(AND(YEAR(AugSun1+23)=CalendarYear+1,MONTH(AugSun1+23)=8),AugSun1+23,""),IF(AND(YEAR(AugSun1+30)=CalendarYear+1,MONTH(AugSun1+30)=8),AugSun1+30,""))</f>
        <v>42612</v>
      </c>
      <c r="AE50" s="3">
        <f>IF(DAY(AugSun1)=1,IF(AND(YEAR(AugSun1+24)=CalendarYear+1,MONTH(AugSun1+24)=8),AugSun1+24,""),IF(AND(YEAR(AugSun1+31)=CalendarYear+1,MONTH(AugSun1+31)=8),AugSun1+31,""))</f>
        <v>42613</v>
      </c>
      <c r="AF50" s="3" t="str">
        <f>IF(DAY(AugSun1)=1,IF(AND(YEAR(AugSun1+25)=CalendarYear+1,MONTH(AugSun1+25)=8),AugSun1+25,""),IF(AND(YEAR(AugSun1+32)=CalendarYear+1,MONTH(AugSun1+32)=8),AugSun1+32,""))</f>
        <v/>
      </c>
      <c r="AG50" s="3" t="str">
        <f>IF(DAY(AugSun1)=1,IF(AND(YEAR(AugSun1+26)=CalendarYear+1,MONTH(AugSun1+26)=8),AugSun1+26,""),IF(AND(YEAR(AugSun1+33)=CalendarYear+1,MONTH(AugSun1+33)=8),AugSun1+33,""))</f>
        <v/>
      </c>
      <c r="AH50" s="3" t="str">
        <f>IF(DAY(AugSun1)=1,IF(AND(YEAR(AugSun1+27)=CalendarYear+1,MONTH(AugSun1+27)=8),AugSun1+27,""),IF(AND(YEAR(AugSun1+34)=CalendarYear+1,MONTH(AugSun1+34)=8),AugSun1+34,""))</f>
        <v/>
      </c>
      <c r="AI50" s="3" t="str">
        <f>IF(DAY(AugSun1)=1,IF(AND(YEAR(AugSun1+28)=CalendarYear+1,MONTH(AugSun1+28)=8),AugSun1+28,""),IF(AND(YEAR(AugSun1+35)=CalendarYear+1,MONTH(AugSun1+35)=8),AugSun1+35,""))</f>
        <v/>
      </c>
      <c r="AO50" s="24">
        <v>42535</v>
      </c>
      <c r="AP50" s="42"/>
      <c r="AQ50" s="43"/>
      <c r="AR50" s="44"/>
    </row>
    <row r="51" spans="2:44" ht="14.25" x14ac:dyDescent="0.2">
      <c r="B51" s="3">
        <f>IF(DAY(MaySun1)=1,IF(AND(YEAR(MaySun1+29)=CalendarYear+1,MONTH(MaySun1+29)=5),MaySun1+29,""),IF(AND(YEAR(MaySun1+36)=CalendarYear+1,MONTH(MaySun1+36)=5),MaySun1+36,""))</f>
        <v>42520</v>
      </c>
      <c r="C51" s="3">
        <f>IF(DAY(MaySun1)=1,IF(AND(YEAR(MaySun1+30)=CalendarYear+1,MONTH(MaySun1+30)=5),MaySun1+30,""),IF(AND(YEAR(MaySun1+37)=CalendarYear+1,MONTH(MaySun1+37)=5),MaySun1+37,""))</f>
        <v>42521</v>
      </c>
      <c r="D51" s="3" t="str">
        <f>IF(DAY(MaySun1)=1,IF(AND(YEAR(MaySun1+31)=CalendarYear+1,MONTH(MaySun1+31)=5),MaySun1+31,""),IF(AND(YEAR(MaySun1+38)=CalendarYear+1,MONTH(MaySun1+38)=5),MaySun1+38,""))</f>
        <v/>
      </c>
      <c r="E51" s="3" t="str">
        <f>IF(DAY(MaySun1)=1,IF(AND(YEAR(MaySun1+32)=CalendarYear+1,MONTH(MaySun1+32)=5),MaySun1+32,""),IF(AND(YEAR(MaySun1+39)=CalendarYear+1,MONTH(MaySun1+39)=5),MaySun1+39,""))</f>
        <v/>
      </c>
      <c r="F51" s="3" t="str">
        <f>IF(DAY(MaySun1)=1,IF(AND(YEAR(MaySun1+33)=CalendarYear+1,MONTH(MaySun1+33)=5),MaySun1+33,""),IF(AND(YEAR(MaySun1+40)=CalendarYear+1,MONTH(MaySun1+40)=5),MaySun1+40,""))</f>
        <v/>
      </c>
      <c r="G51" s="3" t="str">
        <f>IF(DAY(MaySun1)=1,IF(AND(YEAR(MaySun1+34)=CalendarYear+1,MONTH(MaySun1+34)=5),MaySun1+34,""),IF(AND(YEAR(MaySun1+41)=CalendarYear+1,MONTH(MaySun1+41)=5),MaySun1+41,""))</f>
        <v/>
      </c>
      <c r="H51" s="3" t="str">
        <f>IF(DAY(MaySun1)=1,IF(AND(YEAR(MaySun1+35)=CalendarYear+1,MONTH(MaySun1+35)=5),MaySun1+35,""),IF(AND(YEAR(MaySun1+42)=CalendarYear+1,MONTH(MaySun1+42)=5),MaySun1+42,""))</f>
        <v/>
      </c>
      <c r="I51" s="11"/>
      <c r="J51" s="3"/>
      <c r="K51" s="3" t="str">
        <f>IF(DAY(JunSun1)=1,IF(AND(YEAR(JunSun1+29)=CalendarYear+1,MONTH(JunSun1+29)=6),JunSun1+29,""),IF(AND(YEAR(JunSun1+36)=CalendarYear+1,MONTH(JunSun1+36)=6),JunSun1+36,""))</f>
        <v/>
      </c>
      <c r="L51" s="3" t="str">
        <f>IF(DAY(JunSun1)=1,IF(AND(YEAR(JunSun1+30)=CalendarYear+1,MONTH(JunSun1+30)=6),JunSun1+30,""),IF(AND(YEAR(JunSun1+37)=CalendarYear+1,MONTH(JunSun1+37)=6),JunSun1+37,""))</f>
        <v/>
      </c>
      <c r="M51" s="3" t="str">
        <f>IF(DAY(JunSun1)=1,IF(AND(YEAR(JunSun1+31)=CalendarYear+1,MONTH(JunSun1+31)=6),JunSun1+31,""),IF(AND(YEAR(JunSun1+38)=CalendarYear+1,MONTH(JunSun1+38)=6),JunSun1+38,""))</f>
        <v/>
      </c>
      <c r="N51" s="3" t="str">
        <f>IF(DAY(JunSun1)=1,IF(AND(YEAR(JunSun1+32)=CalendarYear+1,MONTH(JunSun1+32)=6),JunSun1+32,""),IF(AND(YEAR(JunSun1+39)=CalendarYear+1,MONTH(JunSun1+39)=6),JunSun1+39,""))</f>
        <v/>
      </c>
      <c r="O51" s="3" t="str">
        <f>IF(DAY(JunSun1)=1,IF(AND(YEAR(JunSun1+33)=CalendarYear+1,MONTH(JunSun1+33)=6),JunSun1+33,""),IF(AND(YEAR(JunSun1+40)=CalendarYear+1,MONTH(JunSun1+40)=6),JunSun1+40,""))</f>
        <v/>
      </c>
      <c r="P51" s="3" t="str">
        <f>IF(DAY(JunSun1)=1,IF(AND(YEAR(JunSun1+34)=CalendarYear+1,MONTH(JunSun1+34)=6),JunSun1+34,""),IF(AND(YEAR(JunSun1+41)=CalendarYear+1,MONTH(JunSun1+41)=6),JunSun1+41,""))</f>
        <v/>
      </c>
      <c r="Q51" s="3" t="str">
        <f>IF(DAY(JunSun1)=1,IF(AND(YEAR(JunSun1+35)=CalendarYear+1,MONTH(JunSun1+35)=6),JunSun1+35,""),IF(AND(YEAR(JunSun1+42)=CalendarYear+1,MONTH(JunSun1+42)=6),JunSun1+42,""))</f>
        <v/>
      </c>
      <c r="R51" s="11"/>
      <c r="T51" s="3" t="str">
        <f>IF(DAY(JulSun1)=1,IF(AND(YEAR(JulSun1+29)=CalendarYear+1,MONTH(JulSun1+29)=7),JulSun1+29,""),IF(AND(YEAR(JulSun1+36)=CalendarYear+1,MONTH(JulSun1+36)=7),JulSun1+36,""))</f>
        <v/>
      </c>
      <c r="U51" s="3" t="str">
        <f>IF(DAY(JulSun1)=1,IF(AND(YEAR(JulSun1+30)=CalendarYear+1,MONTH(JulSun1+30)=7),JulSun1+30,""),IF(AND(YEAR(JulSun1+37)=CalendarYear+1,MONTH(JulSun1+37)=7),JulSun1+37,""))</f>
        <v/>
      </c>
      <c r="V51" s="3" t="str">
        <f>IF(DAY(JulSun1)=1,IF(AND(YEAR(JulSun1+31)=CalendarYear+1,MONTH(JulSun1+31)=7),JulSun1+31,""),IF(AND(YEAR(JulSun1+38)=CalendarYear+1,MONTH(JulSun1+38)=7),JulSun1+38,""))</f>
        <v/>
      </c>
      <c r="W51" s="3" t="str">
        <f>IF(DAY(JulSun1)=1,IF(AND(YEAR(JulSun1+32)=CalendarYear+1,MONTH(JulSun1+32)=7),JulSun1+32,""),IF(AND(YEAR(JulSun1+39)=CalendarYear+1,MONTH(JulSun1+39)=7),JulSun1+39,""))</f>
        <v/>
      </c>
      <c r="X51" s="3" t="str">
        <f>IF(DAY(JulSun1)=1,IF(AND(YEAR(JulSun1+33)=CalendarYear+1,MONTH(JulSun1+33)=7),JulSun1+33,""),IF(AND(YEAR(JulSun1+40)=CalendarYear+1,MONTH(JulSun1+40)=7),JulSun1+40,""))</f>
        <v/>
      </c>
      <c r="Y51" s="3" t="str">
        <f>IF(DAY(JulSun1)=1,IF(AND(YEAR(JulSun1+34)=CalendarYear+1,MONTH(JulSun1+34)=7),JulSun1+34,""),IF(AND(YEAR(JulSun1+41)=CalendarYear+1,MONTH(JulSun1+41)=7),JulSun1+41,""))</f>
        <v/>
      </c>
      <c r="Z51" s="3" t="str">
        <f>IF(DAY(JulSun1)=1,IF(AND(YEAR(JulSun1+35)=CalendarYear+1,MONTH(JulSun1+35)=7),JulSun1+35,""),IF(AND(YEAR(JulSun1+42)=CalendarYear+1,MONTH(JulSun1+42)=7),JulSun1+42,""))</f>
        <v/>
      </c>
      <c r="AA51" s="11"/>
      <c r="AB51" s="5"/>
      <c r="AC51" s="3" t="str">
        <f>IF(DAY(AugSun1)=1,IF(AND(YEAR(AugSun1+29)=CalendarYear+1,MONTH(AugSun1+29)=8),AugSun1+29,""),IF(AND(YEAR(AugSun1+36)=CalendarYear+1,MONTH(AugSun1+36)=8),AugSun1+36,""))</f>
        <v/>
      </c>
      <c r="AD51" s="3" t="str">
        <f>IF(DAY(AugSun1)=1,IF(AND(YEAR(AugSun1+30)=CalendarYear+1,MONTH(AugSun1+30)=8),AugSun1+30,""),IF(AND(YEAR(AugSun1+37)=CalendarYear+1,MONTH(AugSun1+37)=8),AugSun1+37,""))</f>
        <v/>
      </c>
      <c r="AE51" s="3" t="str">
        <f>IF(DAY(AugSun1)=1,IF(AND(YEAR(AugSun1+31)=CalendarYear+1,MONTH(AugSun1+31)=8),AugSun1+31,""),IF(AND(YEAR(AugSun1+38)=CalendarYear+1,MONTH(AugSun1+38)=8),AugSun1+38,""))</f>
        <v/>
      </c>
      <c r="AF51" s="3" t="str">
        <f>IF(DAY(AugSun1)=1,IF(AND(YEAR(AugSun1+32)=CalendarYear+1,MONTH(AugSun1+32)=8),AugSun1+32,""),IF(AND(YEAR(AugSun1+39)=CalendarYear+1,MONTH(AugSun1+39)=8),AugSun1+39,""))</f>
        <v/>
      </c>
      <c r="AG51" s="3" t="str">
        <f>IF(DAY(AugSun1)=1,IF(AND(YEAR(AugSun1+33)=CalendarYear+1,MONTH(AugSun1+33)=8),AugSun1+33,""),IF(AND(YEAR(AugSun1+40)=CalendarYear+1,MONTH(AugSun1+40)=8),AugSun1+40,""))</f>
        <v/>
      </c>
      <c r="AH51" s="3" t="str">
        <f>IF(DAY(AugSun1)=1,IF(AND(YEAR(AugSun1+34)=CalendarYear+1,MONTH(AugSun1+34)=8),AugSun1+34,""),IF(AND(YEAR(AugSun1+41)=CalendarYear+1,MONTH(AugSun1+41)=8),AugSun1+41,""))</f>
        <v/>
      </c>
      <c r="AI51" s="3" t="str">
        <f>IF(DAY(AugSun1)=1,IF(AND(YEAR(AugSun1+35)=CalendarYear+1,MONTH(AugSun1+35)=8),AugSun1+35,""),IF(AND(YEAR(AugSun1+42)=CalendarYear+1,MONTH(AugSun1+42)=8),AugSun1+42,""))</f>
        <v/>
      </c>
      <c r="AO51" s="24">
        <v>42536</v>
      </c>
      <c r="AP51" s="24"/>
      <c r="AQ51" s="26"/>
      <c r="AR51" s="16"/>
    </row>
    <row r="52" spans="2:44" ht="14.25" x14ac:dyDescent="0.2">
      <c r="B52" s="5"/>
      <c r="C52" s="5"/>
      <c r="D52" s="5"/>
      <c r="E52" s="5"/>
      <c r="F52" s="5"/>
      <c r="G52" s="5"/>
      <c r="H52" s="5"/>
      <c r="I52" s="12"/>
      <c r="J52" s="3"/>
      <c r="K52" s="5"/>
      <c r="L52" s="5"/>
      <c r="M52" s="5"/>
      <c r="N52" s="5"/>
      <c r="O52" s="5"/>
      <c r="P52" s="5"/>
      <c r="Q52" s="5"/>
      <c r="R52" s="12"/>
      <c r="T52" s="3"/>
      <c r="U52" s="3"/>
      <c r="V52" s="3"/>
      <c r="W52" s="3"/>
      <c r="X52" s="3"/>
      <c r="Y52" s="3"/>
      <c r="Z52" s="3"/>
      <c r="AA52" s="11"/>
      <c r="AB52" s="5"/>
      <c r="AC52" s="3"/>
      <c r="AD52" s="3"/>
      <c r="AE52" s="3"/>
      <c r="AF52" s="3"/>
      <c r="AG52" s="3"/>
      <c r="AH52" s="3"/>
      <c r="AI52" s="3"/>
      <c r="AO52" s="24">
        <v>42537</v>
      </c>
      <c r="AP52" s="42"/>
      <c r="AQ52" s="43"/>
      <c r="AR52" s="44"/>
    </row>
    <row r="53" spans="2:44" ht="14.25" x14ac:dyDescent="0.2">
      <c r="AO53" s="24">
        <v>42538</v>
      </c>
      <c r="AP53" s="24"/>
      <c r="AQ53" s="26"/>
      <c r="AR53" s="16"/>
    </row>
    <row r="54" spans="2:44" ht="14.25" x14ac:dyDescent="0.2">
      <c r="AO54" s="24">
        <v>42539</v>
      </c>
      <c r="AP54" s="42"/>
      <c r="AQ54" s="43"/>
      <c r="AR54" s="44"/>
    </row>
    <row r="55" spans="2:44" ht="14.25" x14ac:dyDescent="0.2">
      <c r="AO55" s="24">
        <v>42540</v>
      </c>
      <c r="AP55" s="24"/>
      <c r="AQ55" s="26"/>
      <c r="AR55" s="16"/>
    </row>
    <row r="56" spans="2:44" ht="14.25" x14ac:dyDescent="0.2">
      <c r="AO56" s="24">
        <v>42541</v>
      </c>
      <c r="AP56" s="42"/>
      <c r="AQ56" s="43"/>
      <c r="AR56" s="44"/>
    </row>
    <row r="57" spans="2:44" ht="14.25" x14ac:dyDescent="0.2">
      <c r="AO57" s="24">
        <v>42542</v>
      </c>
      <c r="AP57" s="24"/>
      <c r="AQ57" s="26"/>
      <c r="AR57" s="16"/>
    </row>
    <row r="58" spans="2:44" ht="14.25" x14ac:dyDescent="0.2">
      <c r="AO58" s="24">
        <v>42543</v>
      </c>
      <c r="AP58" s="42"/>
      <c r="AQ58" s="43"/>
      <c r="AR58" s="44"/>
    </row>
    <row r="59" spans="2:44" ht="14.25" x14ac:dyDescent="0.2">
      <c r="AO59" s="24">
        <v>42544</v>
      </c>
      <c r="AP59" s="24"/>
      <c r="AQ59" s="26"/>
      <c r="AR59" s="16"/>
    </row>
    <row r="60" spans="2:44" ht="14.25" x14ac:dyDescent="0.2">
      <c r="AO60" s="24">
        <v>42545</v>
      </c>
      <c r="AP60" s="42"/>
      <c r="AQ60" s="43"/>
      <c r="AR60" s="44"/>
    </row>
    <row r="61" spans="2:44" ht="14.25" x14ac:dyDescent="0.2">
      <c r="AO61" s="24">
        <v>42546</v>
      </c>
      <c r="AP61" s="24"/>
      <c r="AQ61" s="26"/>
      <c r="AR61" s="16"/>
    </row>
    <row r="62" spans="2:44" ht="14.25" x14ac:dyDescent="0.2">
      <c r="AO62" s="24">
        <v>42547</v>
      </c>
      <c r="AP62" s="42"/>
      <c r="AQ62" s="43"/>
      <c r="AR62" s="44"/>
    </row>
    <row r="63" spans="2:44" ht="14.25" x14ac:dyDescent="0.2">
      <c r="AO63" s="24">
        <v>42548</v>
      </c>
      <c r="AP63" s="24"/>
      <c r="AQ63" s="26"/>
      <c r="AR63" s="16"/>
    </row>
    <row r="64" spans="2:44" ht="14.25" x14ac:dyDescent="0.2">
      <c r="AO64" s="24">
        <v>42549</v>
      </c>
      <c r="AP64" s="42"/>
      <c r="AQ64" s="43"/>
      <c r="AR64" s="44"/>
    </row>
    <row r="65" spans="41:44" ht="14.25" x14ac:dyDescent="0.2">
      <c r="AO65" s="24">
        <v>42550</v>
      </c>
      <c r="AP65" s="24"/>
      <c r="AQ65" s="26"/>
      <c r="AR65" s="16"/>
    </row>
    <row r="66" spans="41:44" ht="14.25" x14ac:dyDescent="0.2">
      <c r="AO66" s="24">
        <v>42551</v>
      </c>
      <c r="AP66" s="42"/>
      <c r="AQ66" s="43"/>
      <c r="AR66" s="44"/>
    </row>
    <row r="67" spans="41:44" ht="14.25" x14ac:dyDescent="0.2">
      <c r="AO67" s="24">
        <v>42552</v>
      </c>
      <c r="AP67" s="24"/>
      <c r="AQ67" s="26"/>
      <c r="AR67" s="16"/>
    </row>
    <row r="68" spans="41:44" ht="14.25" x14ac:dyDescent="0.2">
      <c r="AO68" s="24">
        <v>42553</v>
      </c>
      <c r="AP68" s="42"/>
      <c r="AQ68" s="43"/>
      <c r="AR68" s="44"/>
    </row>
    <row r="69" spans="41:44" ht="14.25" x14ac:dyDescent="0.2">
      <c r="AO69" s="24">
        <v>42554</v>
      </c>
      <c r="AP69" s="24"/>
      <c r="AQ69" s="26"/>
      <c r="AR69" s="16"/>
    </row>
    <row r="70" spans="41:44" ht="14.25" x14ac:dyDescent="0.2">
      <c r="AO70" s="24">
        <v>42555</v>
      </c>
      <c r="AP70" s="42"/>
      <c r="AQ70" s="43"/>
      <c r="AR70" s="44"/>
    </row>
    <row r="71" spans="41:44" ht="14.25" x14ac:dyDescent="0.2">
      <c r="AO71" s="24">
        <v>42556</v>
      </c>
      <c r="AP71" s="24"/>
      <c r="AQ71" s="26"/>
      <c r="AR71" s="16"/>
    </row>
    <row r="72" spans="41:44" ht="14.25" x14ac:dyDescent="0.2">
      <c r="AO72" s="24">
        <v>42557</v>
      </c>
      <c r="AP72" s="42"/>
      <c r="AQ72" s="43"/>
      <c r="AR72" s="44"/>
    </row>
    <row r="73" spans="41:44" ht="14.25" x14ac:dyDescent="0.2">
      <c r="AO73" s="24">
        <v>42558</v>
      </c>
      <c r="AP73" s="24"/>
      <c r="AQ73" s="26"/>
      <c r="AR73" s="16"/>
    </row>
    <row r="74" spans="41:44" ht="14.25" x14ac:dyDescent="0.2">
      <c r="AO74" s="24">
        <v>42559</v>
      </c>
      <c r="AP74" s="42"/>
      <c r="AQ74" s="43"/>
      <c r="AR74" s="44"/>
    </row>
    <row r="75" spans="41:44" ht="14.25" x14ac:dyDescent="0.2">
      <c r="AO75" s="24">
        <v>42560</v>
      </c>
      <c r="AP75" s="24"/>
      <c r="AQ75" s="26"/>
      <c r="AR75" s="16"/>
    </row>
    <row r="76" spans="41:44" ht="14.25" x14ac:dyDescent="0.2">
      <c r="AO76" s="24">
        <v>42561</v>
      </c>
      <c r="AP76" s="42"/>
      <c r="AQ76" s="43"/>
      <c r="AR76" s="44"/>
    </row>
    <row r="77" spans="41:44" ht="14.25" x14ac:dyDescent="0.2">
      <c r="AO77" s="24">
        <v>42562</v>
      </c>
      <c r="AP77" s="24"/>
      <c r="AQ77" s="26"/>
      <c r="AR77" s="16"/>
    </row>
    <row r="78" spans="41:44" ht="14.25" x14ac:dyDescent="0.2">
      <c r="AO78" s="24">
        <v>42563</v>
      </c>
      <c r="AP78" s="42"/>
      <c r="AQ78" s="43"/>
      <c r="AR78" s="44"/>
    </row>
    <row r="79" spans="41:44" ht="14.25" x14ac:dyDescent="0.2">
      <c r="AO79" s="24">
        <v>42564</v>
      </c>
      <c r="AP79" s="24"/>
      <c r="AQ79" s="26"/>
      <c r="AR79" s="16"/>
    </row>
    <row r="80" spans="41:44" ht="14.25" x14ac:dyDescent="0.2">
      <c r="AO80" s="24">
        <v>42565</v>
      </c>
      <c r="AP80" s="42"/>
      <c r="AQ80" s="43"/>
      <c r="AR80" s="44"/>
    </row>
    <row r="81" spans="41:44" ht="14.25" x14ac:dyDescent="0.2">
      <c r="AO81" s="24">
        <v>42566</v>
      </c>
      <c r="AP81" s="24"/>
      <c r="AQ81" s="26"/>
      <c r="AR81" s="16"/>
    </row>
    <row r="82" spans="41:44" ht="14.25" x14ac:dyDescent="0.2">
      <c r="AO82" s="24">
        <v>42567</v>
      </c>
      <c r="AP82" s="42"/>
      <c r="AQ82" s="43"/>
      <c r="AR82" s="44"/>
    </row>
    <row r="83" spans="41:44" ht="14.25" x14ac:dyDescent="0.2">
      <c r="AO83" s="24">
        <v>42568</v>
      </c>
      <c r="AP83" s="24"/>
      <c r="AQ83" s="26"/>
      <c r="AR83" s="16"/>
    </row>
    <row r="84" spans="41:44" ht="14.25" x14ac:dyDescent="0.2">
      <c r="AO84" s="24">
        <v>42569</v>
      </c>
      <c r="AP84" s="42"/>
      <c r="AQ84" s="43"/>
      <c r="AR84" s="44"/>
    </row>
    <row r="85" spans="41:44" ht="14.25" x14ac:dyDescent="0.2">
      <c r="AO85" s="24">
        <v>42570</v>
      </c>
      <c r="AP85" s="24"/>
      <c r="AQ85" s="26"/>
      <c r="AR85" s="16"/>
    </row>
    <row r="86" spans="41:44" ht="14.25" x14ac:dyDescent="0.2">
      <c r="AO86" s="24">
        <v>42571</v>
      </c>
      <c r="AP86" s="42"/>
      <c r="AQ86" s="43"/>
      <c r="AR86" s="44"/>
    </row>
    <row r="87" spans="41:44" ht="14.25" x14ac:dyDescent="0.2">
      <c r="AO87" s="24">
        <v>42572</v>
      </c>
      <c r="AP87" s="24"/>
      <c r="AQ87" s="26"/>
      <c r="AR87" s="16"/>
    </row>
    <row r="88" spans="41:44" ht="14.25" x14ac:dyDescent="0.2">
      <c r="AO88" s="24">
        <v>42573</v>
      </c>
      <c r="AP88" s="42"/>
      <c r="AQ88" s="43"/>
      <c r="AR88" s="44"/>
    </row>
    <row r="89" spans="41:44" ht="14.25" x14ac:dyDescent="0.2">
      <c r="AO89" s="24">
        <v>42574</v>
      </c>
      <c r="AP89" s="24"/>
      <c r="AQ89" s="26"/>
      <c r="AR89" s="16"/>
    </row>
    <row r="90" spans="41:44" ht="14.25" x14ac:dyDescent="0.2">
      <c r="AO90" s="24">
        <v>42575</v>
      </c>
      <c r="AP90" s="42"/>
      <c r="AQ90" s="43"/>
      <c r="AR90" s="44"/>
    </row>
    <row r="91" spans="41:44" ht="14.25" x14ac:dyDescent="0.2">
      <c r="AO91" s="24">
        <v>42576</v>
      </c>
      <c r="AP91" s="24"/>
      <c r="AQ91" s="26"/>
      <c r="AR91" s="16"/>
    </row>
    <row r="92" spans="41:44" ht="14.25" x14ac:dyDescent="0.2">
      <c r="AO92" s="24">
        <v>42577</v>
      </c>
      <c r="AP92" s="42"/>
      <c r="AQ92" s="43"/>
      <c r="AR92" s="44"/>
    </row>
    <row r="93" spans="41:44" ht="14.25" x14ac:dyDescent="0.2">
      <c r="AO93" s="24">
        <v>42578</v>
      </c>
      <c r="AP93" s="24"/>
      <c r="AQ93" s="26"/>
      <c r="AR93" s="16"/>
    </row>
    <row r="94" spans="41:44" ht="14.25" x14ac:dyDescent="0.2">
      <c r="AO94" s="24">
        <v>42579</v>
      </c>
      <c r="AP94" s="42"/>
      <c r="AQ94" s="43"/>
      <c r="AR94" s="44"/>
    </row>
    <row r="95" spans="41:44" ht="14.25" x14ac:dyDescent="0.2">
      <c r="AO95" s="24">
        <v>42580</v>
      </c>
      <c r="AP95" s="24"/>
      <c r="AQ95" s="26"/>
      <c r="AR95" s="16"/>
    </row>
    <row r="96" spans="41:44" ht="14.25" x14ac:dyDescent="0.2">
      <c r="AO96" s="24">
        <v>42581</v>
      </c>
      <c r="AP96" s="42"/>
      <c r="AQ96" s="43"/>
      <c r="AR96" s="44"/>
    </row>
    <row r="97" spans="41:44" ht="14.25" x14ac:dyDescent="0.2">
      <c r="AO97" s="24">
        <v>42582</v>
      </c>
      <c r="AP97" s="24"/>
      <c r="AQ97" s="26"/>
      <c r="AR97" s="16"/>
    </row>
    <row r="98" spans="41:44" ht="14.25" x14ac:dyDescent="0.2">
      <c r="AO98" s="24">
        <v>42583</v>
      </c>
      <c r="AP98" s="42"/>
      <c r="AQ98" s="43"/>
      <c r="AR98" s="44"/>
    </row>
    <row r="99" spans="41:44" ht="14.25" x14ac:dyDescent="0.2">
      <c r="AO99" s="24">
        <v>42584</v>
      </c>
      <c r="AP99" s="24"/>
      <c r="AQ99" s="26"/>
      <c r="AR99" s="16"/>
    </row>
    <row r="100" spans="41:44" ht="14.25" x14ac:dyDescent="0.2">
      <c r="AO100" s="24">
        <v>42585</v>
      </c>
      <c r="AP100" s="42"/>
      <c r="AQ100" s="43"/>
      <c r="AR100" s="44"/>
    </row>
    <row r="101" spans="41:44" ht="14.25" x14ac:dyDescent="0.2">
      <c r="AO101" s="24">
        <v>42586</v>
      </c>
      <c r="AP101" s="24"/>
      <c r="AQ101" s="26"/>
      <c r="AR101" s="16"/>
    </row>
    <row r="102" spans="41:44" ht="14.25" x14ac:dyDescent="0.2">
      <c r="AO102" s="24">
        <v>42587</v>
      </c>
      <c r="AP102" s="42"/>
      <c r="AQ102" s="43"/>
      <c r="AR102" s="44"/>
    </row>
    <row r="103" spans="41:44" ht="14.25" x14ac:dyDescent="0.2">
      <c r="AO103" s="24">
        <v>42588</v>
      </c>
      <c r="AP103" s="24"/>
      <c r="AQ103" s="26"/>
      <c r="AR103" s="16"/>
    </row>
    <row r="104" spans="41:44" ht="14.25" x14ac:dyDescent="0.2">
      <c r="AO104" s="24">
        <v>42589</v>
      </c>
      <c r="AP104" s="42"/>
      <c r="AQ104" s="43"/>
      <c r="AR104" s="44"/>
    </row>
    <row r="105" spans="41:44" ht="14.25" x14ac:dyDescent="0.2">
      <c r="AO105" s="24">
        <v>42590</v>
      </c>
      <c r="AP105" s="24"/>
      <c r="AQ105" s="26"/>
      <c r="AR105" s="16"/>
    </row>
    <row r="106" spans="41:44" ht="14.25" x14ac:dyDescent="0.2">
      <c r="AO106" s="24">
        <v>42591</v>
      </c>
      <c r="AP106" s="42"/>
      <c r="AQ106" s="43"/>
      <c r="AR106" s="44"/>
    </row>
    <row r="107" spans="41:44" ht="14.25" x14ac:dyDescent="0.2">
      <c r="AO107" s="24">
        <v>42592</v>
      </c>
      <c r="AP107" s="24"/>
      <c r="AQ107" s="26"/>
      <c r="AR107" s="16"/>
    </row>
    <row r="108" spans="41:44" ht="14.25" x14ac:dyDescent="0.2">
      <c r="AO108" s="24">
        <v>42593</v>
      </c>
      <c r="AP108" s="42"/>
      <c r="AQ108" s="43"/>
      <c r="AR108" s="44"/>
    </row>
    <row r="109" spans="41:44" ht="14.25" x14ac:dyDescent="0.2">
      <c r="AO109" s="24">
        <v>42594</v>
      </c>
      <c r="AP109" s="24"/>
      <c r="AQ109" s="26"/>
      <c r="AR109" s="16"/>
    </row>
    <row r="110" spans="41:44" ht="14.25" x14ac:dyDescent="0.2">
      <c r="AO110" s="24">
        <v>42595</v>
      </c>
      <c r="AP110" s="42"/>
      <c r="AQ110" s="43"/>
      <c r="AR110" s="44"/>
    </row>
    <row r="111" spans="41:44" ht="14.25" x14ac:dyDescent="0.2">
      <c r="AO111" s="24">
        <v>42596</v>
      </c>
      <c r="AP111" s="24"/>
      <c r="AQ111" s="26"/>
      <c r="AR111" s="16"/>
    </row>
    <row r="112" spans="41:44" ht="14.25" x14ac:dyDescent="0.2">
      <c r="AO112" s="24">
        <v>42597</v>
      </c>
      <c r="AP112" s="42"/>
      <c r="AQ112" s="43"/>
      <c r="AR112" s="44"/>
    </row>
    <row r="113" spans="41:44" ht="14.25" x14ac:dyDescent="0.2">
      <c r="AO113" s="24">
        <v>42598</v>
      </c>
      <c r="AP113" s="24"/>
      <c r="AQ113" s="26"/>
      <c r="AR113" s="16"/>
    </row>
    <row r="114" spans="41:44" ht="14.25" x14ac:dyDescent="0.2">
      <c r="AO114" s="24">
        <v>42599</v>
      </c>
      <c r="AP114" s="42"/>
      <c r="AQ114" s="43"/>
      <c r="AR114" s="44"/>
    </row>
    <row r="115" spans="41:44" ht="14.25" x14ac:dyDescent="0.2">
      <c r="AO115" s="24">
        <v>42600</v>
      </c>
      <c r="AP115" s="24"/>
      <c r="AQ115" s="26"/>
      <c r="AR115" s="16"/>
    </row>
    <row r="116" spans="41:44" ht="14.25" x14ac:dyDescent="0.2">
      <c r="AO116" s="24">
        <v>42601</v>
      </c>
      <c r="AP116" s="42"/>
      <c r="AQ116" s="43"/>
      <c r="AR116" s="44"/>
    </row>
    <row r="117" spans="41:44" ht="14.25" x14ac:dyDescent="0.2">
      <c r="AO117" s="24">
        <v>42602</v>
      </c>
      <c r="AP117" s="24"/>
      <c r="AQ117" s="26"/>
      <c r="AR117" s="16"/>
    </row>
    <row r="118" spans="41:44" ht="14.25" x14ac:dyDescent="0.2">
      <c r="AO118" s="24">
        <v>42603</v>
      </c>
      <c r="AP118" s="42"/>
      <c r="AQ118" s="43"/>
      <c r="AR118" s="44"/>
    </row>
    <row r="119" spans="41:44" ht="14.25" x14ac:dyDescent="0.2">
      <c r="AO119" s="24">
        <v>42604</v>
      </c>
      <c r="AP119" s="24"/>
      <c r="AQ119" s="26"/>
      <c r="AR119" s="16"/>
    </row>
    <row r="120" spans="41:44" ht="14.25" x14ac:dyDescent="0.2">
      <c r="AO120" s="24">
        <v>42605</v>
      </c>
      <c r="AP120" s="42"/>
      <c r="AQ120" s="43"/>
      <c r="AR120" s="44"/>
    </row>
    <row r="121" spans="41:44" x14ac:dyDescent="0.2">
      <c r="AO121" s="24">
        <v>42606</v>
      </c>
      <c r="AP121" s="46"/>
      <c r="AQ121" s="46"/>
    </row>
    <row r="122" spans="41:44" x14ac:dyDescent="0.2">
      <c r="AO122" s="24">
        <v>42607</v>
      </c>
      <c r="AP122" s="46"/>
      <c r="AQ122" s="46"/>
    </row>
    <row r="123" spans="41:44" x14ac:dyDescent="0.2">
      <c r="AO123" s="24">
        <v>42608</v>
      </c>
      <c r="AP123" s="46"/>
      <c r="AQ123" s="46"/>
    </row>
    <row r="124" spans="41:44" x14ac:dyDescent="0.2">
      <c r="AO124" s="24">
        <v>42609</v>
      </c>
      <c r="AP124" s="46"/>
      <c r="AQ124" s="46"/>
    </row>
    <row r="125" spans="41:44" x14ac:dyDescent="0.2">
      <c r="AO125" s="24">
        <v>42610</v>
      </c>
      <c r="AP125" s="46"/>
      <c r="AQ125" s="46"/>
    </row>
    <row r="126" spans="41:44" x14ac:dyDescent="0.2">
      <c r="AO126" s="24">
        <v>42611</v>
      </c>
      <c r="AP126" s="46"/>
      <c r="AQ126" s="46"/>
    </row>
    <row r="127" spans="41:44" x14ac:dyDescent="0.2">
      <c r="AO127" s="24">
        <v>42612</v>
      </c>
      <c r="AP127" s="46"/>
      <c r="AQ127" s="46"/>
    </row>
    <row r="128" spans="41:44" x14ac:dyDescent="0.2">
      <c r="AO128" s="24">
        <v>42613</v>
      </c>
      <c r="AP128" s="46"/>
      <c r="AQ128" s="46"/>
    </row>
  </sheetData>
  <sheetProtection password="CA69" sheet="1" objects="1" scenarios="1" formatCells="0" selectLockedCells="1"/>
  <dataConsolidate/>
  <mergeCells count="196">
    <mergeCell ref="B19:G19"/>
    <mergeCell ref="B20:G20"/>
    <mergeCell ref="B21:G21"/>
    <mergeCell ref="B22:G22"/>
    <mergeCell ref="H6:S6"/>
    <mergeCell ref="T6:AK6"/>
    <mergeCell ref="C3:F3"/>
    <mergeCell ref="G3:J3"/>
    <mergeCell ref="C4:F4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AD3:AH3"/>
    <mergeCell ref="AF4:AH4"/>
    <mergeCell ref="Z10:AB10"/>
    <mergeCell ref="AC10:AE10"/>
    <mergeCell ref="B35:H35"/>
    <mergeCell ref="K35:Q35"/>
    <mergeCell ref="T35:Z35"/>
    <mergeCell ref="AC35:AI35"/>
    <mergeCell ref="B44:H44"/>
    <mergeCell ref="K44:Q44"/>
    <mergeCell ref="T44:Z44"/>
    <mergeCell ref="AC44:AI44"/>
    <mergeCell ref="H11:J11"/>
    <mergeCell ref="K11:M11"/>
    <mergeCell ref="N11:P11"/>
    <mergeCell ref="Q11:S11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T14:V14"/>
    <mergeCell ref="W14:Y14"/>
    <mergeCell ref="Z14:AB14"/>
    <mergeCell ref="B34:AI34"/>
    <mergeCell ref="B25:AI25"/>
    <mergeCell ref="K9:M9"/>
    <mergeCell ref="N9:P9"/>
    <mergeCell ref="Q9:S9"/>
    <mergeCell ref="T9:V9"/>
    <mergeCell ref="B26:H26"/>
    <mergeCell ref="K26:Q26"/>
    <mergeCell ref="T26:Z26"/>
    <mergeCell ref="AC26:AI26"/>
    <mergeCell ref="AC14:AE14"/>
    <mergeCell ref="AF14:AH14"/>
    <mergeCell ref="T15:V15"/>
    <mergeCell ref="W15:Y15"/>
    <mergeCell ref="Z15:AB15"/>
    <mergeCell ref="AC15:AE15"/>
    <mergeCell ref="AF15:AH15"/>
    <mergeCell ref="T16:V16"/>
    <mergeCell ref="H10:J10"/>
    <mergeCell ref="K10:M10"/>
    <mergeCell ref="N10:P10"/>
    <mergeCell ref="Q10:S10"/>
    <mergeCell ref="T10:V10"/>
    <mergeCell ref="W10:Y10"/>
    <mergeCell ref="AF10:AH10"/>
    <mergeCell ref="T11:V11"/>
    <mergeCell ref="W11:Y11"/>
    <mergeCell ref="Z11:AB11"/>
    <mergeCell ref="AC11:AE11"/>
    <mergeCell ref="AF11:AH11"/>
    <mergeCell ref="W9:Y9"/>
    <mergeCell ref="Z9:AB9"/>
    <mergeCell ref="AC9:AE9"/>
    <mergeCell ref="AF9:AH9"/>
    <mergeCell ref="AI17:AK17"/>
    <mergeCell ref="AI18:AK18"/>
    <mergeCell ref="H14:J14"/>
    <mergeCell ref="K14:M14"/>
    <mergeCell ref="N14:P14"/>
    <mergeCell ref="Q14:S14"/>
    <mergeCell ref="W12:Y12"/>
    <mergeCell ref="Z12:AB12"/>
    <mergeCell ref="AC12:AE12"/>
    <mergeCell ref="W17:Y17"/>
    <mergeCell ref="Z17:AB17"/>
    <mergeCell ref="AC17:AE17"/>
    <mergeCell ref="AF12:AH12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H12:J12"/>
    <mergeCell ref="K12:M12"/>
    <mergeCell ref="AC20:AE20"/>
    <mergeCell ref="AF20:AH20"/>
    <mergeCell ref="AF17:AH17"/>
    <mergeCell ref="H16:J16"/>
    <mergeCell ref="K16:M16"/>
    <mergeCell ref="N16:P16"/>
    <mergeCell ref="Q16:S16"/>
    <mergeCell ref="AI9:AK9"/>
    <mergeCell ref="W19:Y19"/>
    <mergeCell ref="Z19:AB19"/>
    <mergeCell ref="AC19:AE19"/>
    <mergeCell ref="AF19:AH19"/>
    <mergeCell ref="H19:J19"/>
    <mergeCell ref="K19:M19"/>
    <mergeCell ref="N19:P19"/>
    <mergeCell ref="Q19:S19"/>
    <mergeCell ref="T19:V19"/>
    <mergeCell ref="W16:Y16"/>
    <mergeCell ref="Z16:AB16"/>
    <mergeCell ref="AC16:AE16"/>
    <mergeCell ref="AF16:AH16"/>
    <mergeCell ref="H17:J17"/>
    <mergeCell ref="AI15:AK15"/>
    <mergeCell ref="AI16:AK16"/>
    <mergeCell ref="H9:J9"/>
    <mergeCell ref="K17:M17"/>
    <mergeCell ref="N17:P17"/>
    <mergeCell ref="Q17:S17"/>
    <mergeCell ref="T17:V17"/>
    <mergeCell ref="H15:J15"/>
    <mergeCell ref="K15:M15"/>
    <mergeCell ref="N15:P15"/>
    <mergeCell ref="Q15:S15"/>
    <mergeCell ref="N12:P12"/>
    <mergeCell ref="Q12:S12"/>
    <mergeCell ref="T12:V12"/>
    <mergeCell ref="AI7:AK7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W7:Y7"/>
    <mergeCell ref="Z7:AB7"/>
    <mergeCell ref="AC7:AE7"/>
    <mergeCell ref="AF7:AH7"/>
    <mergeCell ref="K7:M7"/>
    <mergeCell ref="N7:P7"/>
    <mergeCell ref="Q7:S7"/>
    <mergeCell ref="T7:V7"/>
    <mergeCell ref="H7:J7"/>
    <mergeCell ref="AI19:AK19"/>
    <mergeCell ref="AI10:AK10"/>
    <mergeCell ref="AI11:AK11"/>
    <mergeCell ref="AI12:AK12"/>
    <mergeCell ref="AI13:AK13"/>
    <mergeCell ref="AI14:AK14"/>
    <mergeCell ref="AI20:AK20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H20:J20"/>
    <mergeCell ref="K20:M20"/>
    <mergeCell ref="N20:P20"/>
    <mergeCell ref="Q20:S20"/>
    <mergeCell ref="T20:V20"/>
    <mergeCell ref="W20:Y20"/>
    <mergeCell ref="Z20:AB20"/>
    <mergeCell ref="W22:Y22"/>
    <mergeCell ref="Z22:AB22"/>
    <mergeCell ref="AC22:AE22"/>
    <mergeCell ref="AF22:AH22"/>
    <mergeCell ref="AI22:AK22"/>
    <mergeCell ref="H22:J22"/>
    <mergeCell ref="K22:M22"/>
    <mergeCell ref="N22:P22"/>
    <mergeCell ref="Q22:S22"/>
    <mergeCell ref="T22:V22"/>
  </mergeCells>
  <conditionalFormatting sqref="B37:H42 K37:Q42 T37:Z42 AC37:AI42 B46:H51 K46:Q51 T46:Z51 AC46:AI51 B28:H33 K28:Q33 T28:Z33 AC28:AI33">
    <cfRule type="expression" dxfId="37" priority="5">
      <formula>VLOOKUP(B28,glazbeni,1,FALSE)=B28</formula>
    </cfRule>
    <cfRule type="expression" dxfId="36" priority="6">
      <formula>VLOOKUP(B28,likovni,1,FALSE)=B28</formula>
    </cfRule>
    <cfRule type="expression" dxfId="35" priority="7">
      <formula>VLOOKUP(B28,Informatika,1,FALSE)=B28</formula>
    </cfRule>
    <cfRule type="expression" dxfId="34" priority="8">
      <formula>VLOOKUP(B28,Tjelesni,1,FALSE)=B28</formula>
    </cfRule>
    <cfRule type="expression" dxfId="33" priority="9">
      <formula>VLOOKUP(B28,Tehnicki,1,FALSE)=B28</formula>
    </cfRule>
    <cfRule type="expression" dxfId="32" priority="10">
      <formula>VLOOKUP(B28,Geografija,1,FALSE)=B28</formula>
    </cfRule>
    <cfRule type="expression" dxfId="31" priority="11">
      <formula>VLOOKUP(B28,povijest,1,FALSE)=B28</formula>
    </cfRule>
    <cfRule type="expression" dxfId="30" priority="12">
      <formula>VLOOKUP(B28,fizika,1,FALSE)=B28</formula>
    </cfRule>
    <cfRule type="expression" dxfId="29" priority="13">
      <formula>VLOOKUP(B28,Kemija,1,FALSE)=B28</formula>
    </cfRule>
    <cfRule type="expression" dxfId="28" priority="14">
      <formula>VLOOKUP(B28,matematika,1,FALSE)=B28</formula>
    </cfRule>
    <cfRule type="expression" dxfId="27" priority="15">
      <formula>VLOOKUP(B28,PriBio,1,FALSE)=B28</formula>
    </cfRule>
    <cfRule type="expression" dxfId="26" priority="16">
      <formula>VLOOKUP(B28,engleski,1,FALSE)=B28</formula>
    </cfRule>
    <cfRule type="expression" dxfId="25" priority="17">
      <formula>VLOOKUP(B28,njemacki,1,FALSE)=B28</formula>
    </cfRule>
    <cfRule type="expression" dxfId="24" priority="18">
      <formula>VLOOKUP(B28,Hrvatski,1,FALSE)=B28</formula>
    </cfRule>
    <cfRule type="expression" dxfId="23" priority="19">
      <formula>VLOOKUP(B28,ImportantDates,1,FALSE)=B28</formula>
    </cfRule>
    <cfRule type="expression" dxfId="22" priority="20">
      <formula>VLOOKUP(B28,Blagdani,1,FALSE)=B28</formula>
    </cfRule>
    <cfRule type="expression" dxfId="21" priority="21">
      <formula>VLOOKUP(B28,NeradniDani,1,FALSE)=B28</formula>
    </cfRule>
  </conditionalFormatting>
  <conditionalFormatting sqref="H8:AK22">
    <cfRule type="cellIs" dxfId="20" priority="1" operator="equal">
      <formula>"""-"""</formula>
    </cfRule>
    <cfRule type="containsBlanks" dxfId="19" priority="3">
      <formula>LEN(TRIM(H8))=0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81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locked="0" defaultSize="0" print="0" autoPict="0" altText="Use the spinner button to change calendar year or change the year in cell AF3.">
                <anchor moveWithCells="1">
                  <from>
                    <xdr:col>33</xdr:col>
                    <xdr:colOff>200025</xdr:colOff>
                    <xdr:row>2</xdr:row>
                    <xdr:rowOff>85725</xdr:rowOff>
                  </from>
                  <to>
                    <xdr:col>36</xdr:col>
                    <xdr:colOff>114300</xdr:colOff>
                    <xdr:row>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pinner 2">
              <controlPr locked="0" defaultSize="0" print="0" autoPict="0" altText="Use the spinner button to change calendar year or change the year in cell AF3.">
                <anchor moveWithCells="1">
                  <from>
                    <xdr:col>10</xdr:col>
                    <xdr:colOff>9525</xdr:colOff>
                    <xdr:row>2</xdr:row>
                    <xdr:rowOff>9525</xdr:rowOff>
                  </from>
                  <to>
                    <xdr:col>11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2"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E21"/>
  <sheetViews>
    <sheetView showGridLines="0" workbookViewId="0">
      <selection activeCell="I13" sqref="I13"/>
    </sheetView>
  </sheetViews>
  <sheetFormatPr defaultRowHeight="12.75" x14ac:dyDescent="0.2"/>
  <cols>
    <col min="2" max="2" width="14.42578125" customWidth="1"/>
    <col min="3" max="3" width="26.85546875" customWidth="1"/>
    <col min="4" max="4" width="32.28515625" bestFit="1" customWidth="1"/>
  </cols>
  <sheetData>
    <row r="1" spans="1:5" x14ac:dyDescent="0.2">
      <c r="A1" t="s">
        <v>93</v>
      </c>
      <c r="B1" t="s">
        <v>51</v>
      </c>
      <c r="C1" t="s">
        <v>52</v>
      </c>
      <c r="D1" t="s">
        <v>53</v>
      </c>
      <c r="E1" t="s">
        <v>96</v>
      </c>
    </row>
    <row r="2" spans="1:5" x14ac:dyDescent="0.2">
      <c r="A2">
        <v>1</v>
      </c>
      <c r="B2" t="s">
        <v>54</v>
      </c>
      <c r="C2" t="s">
        <v>62</v>
      </c>
      <c r="D2" t="s">
        <v>56</v>
      </c>
      <c r="E2" t="s">
        <v>55</v>
      </c>
    </row>
    <row r="3" spans="1:5" x14ac:dyDescent="0.2">
      <c r="A3">
        <v>2</v>
      </c>
      <c r="B3" t="s">
        <v>85</v>
      </c>
      <c r="C3" t="s">
        <v>86</v>
      </c>
      <c r="D3" t="s">
        <v>87</v>
      </c>
      <c r="E3" t="s">
        <v>86</v>
      </c>
    </row>
    <row r="4" spans="1:5" x14ac:dyDescent="0.2">
      <c r="A4">
        <v>3</v>
      </c>
      <c r="B4" t="s">
        <v>78</v>
      </c>
      <c r="C4" t="s">
        <v>83</v>
      </c>
      <c r="D4" t="s">
        <v>80</v>
      </c>
      <c r="E4" t="s">
        <v>79</v>
      </c>
    </row>
    <row r="5" spans="1:5" x14ac:dyDescent="0.2">
      <c r="A5">
        <v>4</v>
      </c>
      <c r="B5" t="s">
        <v>57</v>
      </c>
      <c r="C5" t="s">
        <v>55</v>
      </c>
      <c r="D5" t="s">
        <v>56</v>
      </c>
      <c r="E5" t="s">
        <v>58</v>
      </c>
    </row>
    <row r="6" spans="1:5" x14ac:dyDescent="0.2">
      <c r="A6">
        <v>5</v>
      </c>
      <c r="B6" t="s">
        <v>88</v>
      </c>
      <c r="C6" t="s">
        <v>86</v>
      </c>
      <c r="D6" t="s">
        <v>87</v>
      </c>
      <c r="E6" t="s">
        <v>89</v>
      </c>
    </row>
    <row r="7" spans="1:5" x14ac:dyDescent="0.2">
      <c r="A7">
        <v>6</v>
      </c>
      <c r="B7" t="s">
        <v>81</v>
      </c>
      <c r="C7" t="s">
        <v>79</v>
      </c>
      <c r="D7" t="s">
        <v>80</v>
      </c>
      <c r="E7" t="s">
        <v>79</v>
      </c>
    </row>
    <row r="8" spans="1:5" x14ac:dyDescent="0.2">
      <c r="A8">
        <v>7</v>
      </c>
      <c r="B8" t="s">
        <v>59</v>
      </c>
      <c r="C8" t="s">
        <v>58</v>
      </c>
      <c r="D8" t="s">
        <v>56</v>
      </c>
      <c r="E8" t="s">
        <v>60</v>
      </c>
    </row>
    <row r="9" spans="1:5" x14ac:dyDescent="0.2">
      <c r="A9">
        <v>8</v>
      </c>
      <c r="B9" t="s">
        <v>90</v>
      </c>
      <c r="C9" t="s">
        <v>89</v>
      </c>
      <c r="D9" t="s">
        <v>87</v>
      </c>
      <c r="E9" t="s">
        <v>89</v>
      </c>
    </row>
    <row r="10" spans="1:5" x14ac:dyDescent="0.2">
      <c r="A10">
        <v>9</v>
      </c>
      <c r="B10" t="s">
        <v>82</v>
      </c>
      <c r="C10" t="s">
        <v>79</v>
      </c>
      <c r="D10" t="s">
        <v>80</v>
      </c>
      <c r="E10" t="s">
        <v>83</v>
      </c>
    </row>
    <row r="11" spans="1:5" x14ac:dyDescent="0.2">
      <c r="A11">
        <v>10</v>
      </c>
      <c r="B11" t="s">
        <v>61</v>
      </c>
      <c r="C11" t="s">
        <v>60</v>
      </c>
      <c r="D11" t="s">
        <v>56</v>
      </c>
      <c r="E11" t="s">
        <v>62</v>
      </c>
    </row>
    <row r="12" spans="1:5" x14ac:dyDescent="0.2">
      <c r="A12">
        <v>11</v>
      </c>
      <c r="B12" t="s">
        <v>91</v>
      </c>
      <c r="C12" t="s">
        <v>89</v>
      </c>
      <c r="D12" t="s">
        <v>87</v>
      </c>
      <c r="E12" t="s">
        <v>86</v>
      </c>
    </row>
    <row r="13" spans="1:5" x14ac:dyDescent="0.2">
      <c r="A13">
        <v>12</v>
      </c>
      <c r="B13" t="s">
        <v>84</v>
      </c>
      <c r="C13" t="s">
        <v>86</v>
      </c>
      <c r="D13" t="s">
        <v>80</v>
      </c>
      <c r="E13" t="s">
        <v>83</v>
      </c>
    </row>
    <row r="14" spans="1:5" x14ac:dyDescent="0.2">
      <c r="A14">
        <v>13</v>
      </c>
      <c r="B14" t="s">
        <v>63</v>
      </c>
      <c r="C14" t="s">
        <v>76</v>
      </c>
      <c r="D14" t="s">
        <v>56</v>
      </c>
      <c r="E14" t="s">
        <v>64</v>
      </c>
    </row>
    <row r="15" spans="1:5" x14ac:dyDescent="0.2">
      <c r="A15">
        <v>14</v>
      </c>
      <c r="B15" t="s">
        <v>65</v>
      </c>
      <c r="C15" t="s">
        <v>97</v>
      </c>
      <c r="D15" t="s">
        <v>56</v>
      </c>
      <c r="E15" t="s">
        <v>66</v>
      </c>
    </row>
    <row r="16" spans="1:5" x14ac:dyDescent="0.2">
      <c r="A16">
        <v>15</v>
      </c>
      <c r="B16" t="s">
        <v>67</v>
      </c>
      <c r="C16" t="s">
        <v>64</v>
      </c>
      <c r="D16" t="s">
        <v>56</v>
      </c>
      <c r="E16" t="s">
        <v>68</v>
      </c>
    </row>
    <row r="17" spans="1:5" x14ac:dyDescent="0.2">
      <c r="A17">
        <v>16</v>
      </c>
      <c r="B17" t="s">
        <v>69</v>
      </c>
      <c r="C17" t="s">
        <v>66</v>
      </c>
      <c r="D17" t="s">
        <v>56</v>
      </c>
      <c r="E17" t="s">
        <v>70</v>
      </c>
    </row>
    <row r="18" spans="1:5" x14ac:dyDescent="0.2">
      <c r="A18">
        <v>17</v>
      </c>
      <c r="B18" t="s">
        <v>71</v>
      </c>
      <c r="C18" t="s">
        <v>68</v>
      </c>
      <c r="D18" t="s">
        <v>56</v>
      </c>
      <c r="E18" t="s">
        <v>72</v>
      </c>
    </row>
    <row r="19" spans="1:5" x14ac:dyDescent="0.2">
      <c r="A19">
        <v>18</v>
      </c>
      <c r="B19" t="s">
        <v>73</v>
      </c>
      <c r="C19" t="s">
        <v>70</v>
      </c>
      <c r="D19" t="s">
        <v>56</v>
      </c>
      <c r="E19" t="s">
        <v>74</v>
      </c>
    </row>
    <row r="20" spans="1:5" x14ac:dyDescent="0.2">
      <c r="A20">
        <v>19</v>
      </c>
      <c r="B20" t="s">
        <v>75</v>
      </c>
      <c r="C20" t="s">
        <v>72</v>
      </c>
      <c r="D20" t="s">
        <v>56</v>
      </c>
    </row>
    <row r="21" spans="1:5" x14ac:dyDescent="0.2">
      <c r="A21">
        <v>20</v>
      </c>
      <c r="B21" t="s">
        <v>77</v>
      </c>
      <c r="C21" t="s">
        <v>74</v>
      </c>
      <c r="D21" t="s">
        <v>56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776DB64-D8AE-4185-8832-B1FF552E3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20</vt:i4>
      </vt:variant>
    </vt:vector>
  </HeadingPairs>
  <TitlesOfParts>
    <vt:vector size="22" baseType="lpstr">
      <vt:lpstr>Obiteljski kalendar</vt:lpstr>
      <vt:lpstr>Nastavnici</vt:lpstr>
      <vt:lpstr>Blagdani</vt:lpstr>
      <vt:lpstr>CalendarYear</vt:lpstr>
      <vt:lpstr>engleski</vt:lpstr>
      <vt:lpstr>fizika</vt:lpstr>
      <vt:lpstr>Geografija</vt:lpstr>
      <vt:lpstr>glazbeni</vt:lpstr>
      <vt:lpstr>Hrvatski</vt:lpstr>
      <vt:lpstr>ImportantDates</vt:lpstr>
      <vt:lpstr>Informatika</vt:lpstr>
      <vt:lpstr>KalendarOZNACI</vt:lpstr>
      <vt:lpstr>Kemija</vt:lpstr>
      <vt:lpstr>likovni</vt:lpstr>
      <vt:lpstr>matematika</vt:lpstr>
      <vt:lpstr>NeradniDani</vt:lpstr>
      <vt:lpstr>njemacki</vt:lpstr>
      <vt:lpstr>'Obiteljski kalendar'!Podrucje_ispisa</vt:lpstr>
      <vt:lpstr>povijest</vt:lpstr>
      <vt:lpstr>PriBio</vt:lpstr>
      <vt:lpstr>Tehnicki</vt:lpstr>
      <vt:lpstr>Tjelesni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K4</dc:creator>
  <cp:lastModifiedBy>Informatika</cp:lastModifiedBy>
  <cp:lastPrinted>2015-09-21T09:50:38Z</cp:lastPrinted>
  <dcterms:created xsi:type="dcterms:W3CDTF">2014-10-11T10:24:03Z</dcterms:created>
  <dcterms:modified xsi:type="dcterms:W3CDTF">2015-09-21T09:55:26Z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TC025506549991</vt:lpwstr>
  </property>
</Properties>
</file>